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3.xml" ContentType="application/vnd.openxmlformats-officedocument.drawingml.chartshapes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4.xml" ContentType="application/vnd.openxmlformats-officedocument.drawingml.chartshapes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tables/table1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2025/Proceso - Gestión del mejoramiento/Integración PESV/"/>
    </mc:Choice>
  </mc:AlternateContent>
  <xr:revisionPtr revIDLastSave="4" documentId="8_{736B0DCF-F528-4A89-917F-3663E437C52A}" xr6:coauthVersionLast="47" xr6:coauthVersionMax="47" xr10:uidLastSave="{6B5DF7C7-4815-402C-B663-660F309F8450}"/>
  <bookViews>
    <workbookView xWindow="-120" yWindow="-120" windowWidth="20730" windowHeight="11040" xr2:uid="{00000000-000D-0000-FFFF-FFFF00000000}"/>
  </bookViews>
  <sheets>
    <sheet name="Indicadores Res 595 2022" sheetId="3" r:id="rId1"/>
    <sheet name="Informe Pesv" sheetId="4" r:id="rId2"/>
    <sheet name="Objetivos y metas" sheetId="5" r:id="rId3"/>
  </sheets>
  <calcPr calcId="191029"/>
  <extLst>
    <ext xmlns:x15="http://schemas.microsoft.com/office/spreadsheetml/2010/11/main" uri="{140A7094-0E35-4892-8432-C4D2E57EDEB5}">
      <x15:workbookPr chartTrackingRefBase="1"/>
    </ext>
    <ext uri="GoogleSheetsCustomDataVersion1">
      <go:sheetsCustomData xmlns:go="http://customooxmlschemas.google.com/" r:id="rId6" roundtripDataSignature="AMtx7miS6LaCECAydZ3/DdkGWY4Kmnqg5A=="/>
    </ext>
  </extLst>
</workbook>
</file>

<file path=xl/calcChain.xml><?xml version="1.0" encoding="utf-8"?>
<calcChain xmlns="http://schemas.openxmlformats.org/spreadsheetml/2006/main">
  <c r="H139" i="3" l="1"/>
  <c r="I139" i="3" s="1"/>
  <c r="H138" i="3"/>
  <c r="H137" i="3"/>
  <c r="I137" i="3" s="1"/>
  <c r="H136" i="3"/>
  <c r="I136" i="3" s="1"/>
  <c r="H135" i="3"/>
  <c r="I135" i="3" s="1"/>
  <c r="H134" i="3"/>
  <c r="I134" i="3" s="1"/>
  <c r="H133" i="3"/>
  <c r="I133" i="3" s="1"/>
  <c r="H132" i="3"/>
  <c r="H131" i="3"/>
  <c r="I131" i="3" s="1"/>
  <c r="I132" i="3" l="1"/>
  <c r="J132" i="3" s="1"/>
  <c r="A132" i="3" s="1"/>
  <c r="I138" i="3"/>
  <c r="J138" i="3" s="1"/>
  <c r="A138" i="3" s="1"/>
  <c r="J136" i="3"/>
  <c r="A136" i="3" s="1"/>
  <c r="J134" i="3"/>
  <c r="A134" i="3" s="1"/>
  <c r="A129" i="3"/>
  <c r="J131" i="3"/>
  <c r="A131" i="3" s="1"/>
  <c r="J133" i="3"/>
  <c r="A133" i="3" s="1"/>
  <c r="J135" i="3"/>
  <c r="A135" i="3" s="1"/>
  <c r="J137" i="3"/>
  <c r="A137" i="3" s="1"/>
  <c r="J139" i="3"/>
  <c r="A139" i="3" s="1"/>
  <c r="A128" i="3"/>
  <c r="A130" i="3"/>
  <c r="H118" i="3"/>
  <c r="H119" i="3"/>
  <c r="H120" i="3"/>
  <c r="I120" i="3" s="1"/>
  <c r="J120" i="3" s="1"/>
  <c r="A120" i="3" s="1"/>
  <c r="H121" i="3"/>
  <c r="H122" i="3"/>
  <c r="I122" i="3" s="1"/>
  <c r="H123" i="3"/>
  <c r="I123" i="3" s="1"/>
  <c r="J123" i="3" s="1"/>
  <c r="A123" i="3" s="1"/>
  <c r="H124" i="3"/>
  <c r="H125" i="3"/>
  <c r="H104" i="3"/>
  <c r="I104" i="3" s="1"/>
  <c r="J104" i="3" s="1"/>
  <c r="A104" i="3" s="1"/>
  <c r="H105" i="3"/>
  <c r="I105" i="3" s="1"/>
  <c r="J105" i="3" s="1"/>
  <c r="A105" i="3" s="1"/>
  <c r="H106" i="3"/>
  <c r="I106" i="3" s="1"/>
  <c r="J106" i="3" s="1"/>
  <c r="A106" i="3" s="1"/>
  <c r="H107" i="3"/>
  <c r="H108" i="3"/>
  <c r="I108" i="3" s="1"/>
  <c r="J108" i="3" s="1"/>
  <c r="A108" i="3" s="1"/>
  <c r="H109" i="3"/>
  <c r="H110" i="3"/>
  <c r="I110" i="3" s="1"/>
  <c r="J110" i="3" s="1"/>
  <c r="A110" i="3" s="1"/>
  <c r="H111" i="3"/>
  <c r="I111" i="3" s="1"/>
  <c r="H95" i="3"/>
  <c r="H96" i="3"/>
  <c r="I96" i="3" s="1"/>
  <c r="H97" i="3"/>
  <c r="H94" i="3"/>
  <c r="I94" i="3" s="1"/>
  <c r="H93" i="3"/>
  <c r="H92" i="3"/>
  <c r="I92" i="3" s="1"/>
  <c r="H91" i="3"/>
  <c r="H90" i="3"/>
  <c r="I90" i="3" s="1"/>
  <c r="H72" i="3"/>
  <c r="H73" i="3"/>
  <c r="H74" i="3"/>
  <c r="B131" i="3" l="1"/>
  <c r="I121" i="3"/>
  <c r="J121" i="3" s="1"/>
  <c r="A121" i="3" s="1"/>
  <c r="I118" i="3"/>
  <c r="J118" i="3" s="1"/>
  <c r="A118" i="3" s="1"/>
  <c r="B128" i="3"/>
  <c r="I119" i="3"/>
  <c r="J119" i="3" s="1"/>
  <c r="A119" i="3" s="1"/>
  <c r="I124" i="3"/>
  <c r="J124" i="3" s="1"/>
  <c r="A124" i="3" s="1"/>
  <c r="B134" i="3"/>
  <c r="B137" i="3"/>
  <c r="I125" i="3"/>
  <c r="J125" i="3" s="1"/>
  <c r="A125" i="3" s="1"/>
  <c r="J122" i="3"/>
  <c r="A122" i="3" s="1"/>
  <c r="I109" i="3"/>
  <c r="J109" i="3" s="1"/>
  <c r="A109" i="3" s="1"/>
  <c r="I107" i="3"/>
  <c r="J107" i="3" s="1"/>
  <c r="A107" i="3" s="1"/>
  <c r="B106" i="3" s="1"/>
  <c r="J111" i="3"/>
  <c r="A111" i="3" s="1"/>
  <c r="I95" i="3"/>
  <c r="J95" i="3" s="1"/>
  <c r="A95" i="3" s="1"/>
  <c r="J96" i="3"/>
  <c r="A96" i="3" s="1"/>
  <c r="I97" i="3"/>
  <c r="J97" i="3" s="1"/>
  <c r="A97" i="3" s="1"/>
  <c r="J94" i="3"/>
  <c r="A94" i="3" s="1"/>
  <c r="I91" i="3"/>
  <c r="J91" i="3" s="1"/>
  <c r="A91" i="3" s="1"/>
  <c r="I93" i="3"/>
  <c r="J93" i="3" s="1"/>
  <c r="A93" i="3" s="1"/>
  <c r="J92" i="3"/>
  <c r="A92" i="3" s="1"/>
  <c r="J90" i="3"/>
  <c r="A90" i="3" s="1"/>
  <c r="H54" i="3"/>
  <c r="H55" i="3"/>
  <c r="H56" i="3"/>
  <c r="H57" i="3"/>
  <c r="H58" i="3"/>
  <c r="H59" i="3"/>
  <c r="H60" i="3"/>
  <c r="H61" i="3"/>
  <c r="H62" i="3"/>
  <c r="B120" i="3" l="1"/>
  <c r="B123" i="3"/>
  <c r="B109" i="3"/>
  <c r="B95" i="3"/>
  <c r="B92" i="3"/>
  <c r="N21" i="3"/>
  <c r="H83" i="3"/>
  <c r="H66" i="3" l="1"/>
  <c r="H67" i="3"/>
  <c r="H68" i="3"/>
  <c r="H40" i="3"/>
  <c r="H41" i="3"/>
  <c r="H42" i="3"/>
  <c r="H43" i="3"/>
  <c r="H44" i="3"/>
  <c r="H45" i="3"/>
  <c r="H46" i="3"/>
  <c r="H47" i="3"/>
  <c r="H48" i="3"/>
  <c r="H31" i="3"/>
  <c r="I31" i="3" s="1"/>
  <c r="J31" i="3" s="1"/>
  <c r="H32" i="3"/>
  <c r="I32" i="3" s="1"/>
  <c r="J32" i="3" s="1"/>
  <c r="H33" i="3"/>
  <c r="I33" i="3" s="1"/>
  <c r="J33" i="3" s="1"/>
  <c r="H34" i="3"/>
  <c r="J15" i="3"/>
  <c r="J16" i="3"/>
  <c r="J17" i="3"/>
  <c r="L21" i="3"/>
  <c r="I74" i="3" l="1"/>
  <c r="J74" i="3" s="1"/>
  <c r="I73" i="3"/>
  <c r="J73" i="3" s="1"/>
  <c r="I72" i="3"/>
  <c r="J72" i="3" s="1"/>
  <c r="I68" i="3"/>
  <c r="J68" i="3" s="1"/>
  <c r="I67" i="3"/>
  <c r="J67" i="3" s="1"/>
  <c r="I66" i="3"/>
  <c r="J66" i="3" s="1"/>
  <c r="I58" i="3"/>
  <c r="J58" i="3" s="1"/>
  <c r="I57" i="3"/>
  <c r="J57" i="3" s="1"/>
  <c r="I56" i="3"/>
  <c r="J56" i="3" s="1"/>
  <c r="I55" i="3"/>
  <c r="J55" i="3" s="1"/>
  <c r="I62" i="3"/>
  <c r="J62" i="3" s="1"/>
  <c r="I54" i="3"/>
  <c r="J54" i="3" s="1"/>
  <c r="I61" i="3"/>
  <c r="J61" i="3" s="1"/>
  <c r="I60" i="3"/>
  <c r="J60" i="3" s="1"/>
  <c r="I59" i="3"/>
  <c r="J59" i="3" s="1"/>
  <c r="I47" i="3"/>
  <c r="J47" i="3" s="1"/>
  <c r="I46" i="3"/>
  <c r="J46" i="3" s="1"/>
  <c r="I45" i="3"/>
  <c r="J45" i="3" s="1"/>
  <c r="I44" i="3"/>
  <c r="J44" i="3" s="1"/>
  <c r="I43" i="3"/>
  <c r="J43" i="3" s="1"/>
  <c r="I40" i="3"/>
  <c r="J40" i="3" s="1"/>
  <c r="I42" i="3"/>
  <c r="J42" i="3" s="1"/>
  <c r="I48" i="3"/>
  <c r="J48" i="3" s="1"/>
  <c r="I41" i="3"/>
  <c r="J41" i="3" s="1"/>
  <c r="I34" i="3"/>
  <c r="J34" i="3" s="1"/>
  <c r="O21" i="3"/>
  <c r="A21" i="3" s="1"/>
  <c r="N22" i="3"/>
  <c r="O22" i="3" s="1"/>
  <c r="H103" i="3"/>
  <c r="H89" i="3"/>
  <c r="I103" i="3" l="1"/>
  <c r="J103" i="3" s="1"/>
  <c r="A103" i="3" s="1"/>
  <c r="B103" i="3" s="1"/>
  <c r="I89" i="3"/>
  <c r="J89" i="3" s="1"/>
  <c r="A89" i="3" s="1"/>
  <c r="B89" i="3" s="1"/>
  <c r="A117" i="3"/>
  <c r="B117" i="3" s="1"/>
  <c r="A86" i="3"/>
  <c r="A114" i="3"/>
  <c r="A87" i="3"/>
  <c r="A115" i="3"/>
  <c r="A88" i="3"/>
  <c r="A116" i="3"/>
  <c r="A101" i="3"/>
  <c r="A102" i="3"/>
  <c r="A100" i="3"/>
  <c r="I83" i="3"/>
  <c r="J83" i="3" s="1"/>
  <c r="H80" i="3"/>
  <c r="H79" i="3"/>
  <c r="H78" i="3"/>
  <c r="B114" i="3" l="1"/>
  <c r="B100" i="3"/>
  <c r="B86" i="3"/>
  <c r="I78" i="3"/>
  <c r="J78" i="3" s="1"/>
  <c r="I80" i="3"/>
  <c r="J80" i="3" s="1"/>
  <c r="A80" i="3" s="1"/>
  <c r="A77" i="3"/>
  <c r="I79" i="3"/>
  <c r="J79" i="3" s="1"/>
  <c r="A79" i="3" s="1"/>
  <c r="A60" i="3"/>
  <c r="A57" i="3"/>
  <c r="A59" i="3"/>
  <c r="A52" i="3"/>
  <c r="A61" i="3"/>
  <c r="A55" i="3"/>
  <c r="A83" i="3"/>
  <c r="A73" i="3"/>
  <c r="A71" i="3"/>
  <c r="A72" i="3"/>
  <c r="A74" i="3"/>
  <c r="A65" i="3"/>
  <c r="A66" i="3"/>
  <c r="A67" i="3"/>
  <c r="A68" i="3"/>
  <c r="A53" i="3"/>
  <c r="A62" i="3"/>
  <c r="A56" i="3"/>
  <c r="A54" i="3"/>
  <c r="A58" i="3"/>
  <c r="A51" i="3"/>
  <c r="A31" i="3"/>
  <c r="A78" i="3" l="1"/>
  <c r="B51" i="3"/>
  <c r="B54" i="3"/>
  <c r="B60" i="3"/>
  <c r="B57" i="3"/>
  <c r="A40" i="3"/>
  <c r="A41" i="3"/>
  <c r="A48" i="3"/>
  <c r="A43" i="3"/>
  <c r="A39" i="3"/>
  <c r="A34" i="3"/>
  <c r="A44" i="3"/>
  <c r="A38" i="3"/>
  <c r="A46" i="3"/>
  <c r="A45" i="3"/>
  <c r="A37" i="3"/>
  <c r="A42" i="3"/>
  <c r="A47" i="3"/>
  <c r="A33" i="3"/>
  <c r="A32" i="3"/>
  <c r="B37" i="3" l="1"/>
  <c r="B43" i="3"/>
  <c r="B40" i="3"/>
  <c r="B46" i="3"/>
  <c r="L14" i="3"/>
  <c r="L15" i="3"/>
  <c r="M15" i="3" s="1"/>
  <c r="N15" i="3" s="1"/>
  <c r="A15" i="3" s="1"/>
  <c r="L16" i="3"/>
  <c r="M16" i="3" s="1"/>
  <c r="N16" i="3" s="1"/>
  <c r="A16" i="3" s="1"/>
  <c r="L17" i="3"/>
  <c r="M17" i="3" s="1"/>
  <c r="N17" i="3" s="1"/>
  <c r="A17" i="3" s="1"/>
  <c r="H28" i="3" l="1"/>
  <c r="H27" i="3"/>
  <c r="H26" i="3"/>
  <c r="M14" i="3"/>
  <c r="N14" i="3" s="1"/>
  <c r="A14" i="3" s="1"/>
  <c r="I28" i="3" l="1"/>
  <c r="A28" i="3" s="1"/>
  <c r="I26" i="3"/>
  <c r="A26" i="3" s="1"/>
  <c r="I27" i="3"/>
  <c r="A27" i="3" s="1"/>
  <c r="A25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Deivis Alberto Pacheco Diaz</author>
  </authors>
  <commentList>
    <comment ref="D14" authorId="0" shapeId="0" xr:uid="{CA7633FF-0930-4063-9F3B-1043C12FB1CB}">
      <text>
        <r>
          <rPr>
            <b/>
            <sz val="9"/>
            <color indexed="81"/>
            <rFont val="Tahoma"/>
            <family val="2"/>
          </rPr>
          <t>Resolución 595 del 2022:</t>
        </r>
        <r>
          <rPr>
            <sz val="9"/>
            <color indexed="81"/>
            <rFont val="Tahoma"/>
            <family val="2"/>
          </rPr>
          <t xml:space="preserve"> 
Determinar la tasa de siniestros viales por perdidas.
Variables a medir en el Indicador
</t>
        </r>
        <r>
          <rPr>
            <b/>
            <sz val="9"/>
            <color indexed="81"/>
            <rFont val="Tahoma"/>
            <family val="2"/>
          </rPr>
          <t>SV(tn):</t>
        </r>
        <r>
          <rPr>
            <sz val="9"/>
            <color indexed="81"/>
            <rFont val="Tahoma"/>
            <family val="2"/>
          </rPr>
          <t xml:space="preserve"> Número de siniestros viales por trimestre por nivel de pérdida: fatalidades, heridos graves con más de 30 dias de incapacidad, heridos leves con hasta 30 días de incapacidad, choques simples.
</t>
        </r>
        <r>
          <rPr>
            <b/>
            <sz val="9"/>
            <color indexed="81"/>
            <rFont val="Tahoma"/>
            <family val="2"/>
          </rPr>
          <t>K:</t>
        </r>
        <r>
          <rPr>
            <sz val="9"/>
            <color indexed="81"/>
            <rFont val="Tahoma"/>
            <family val="2"/>
          </rPr>
          <t xml:space="preserve"> Constante equivalente a 1.000.000 de kilómetros.
</t>
        </r>
        <r>
          <rPr>
            <b/>
            <sz val="9"/>
            <color indexed="81"/>
            <rFont val="Tahoma"/>
            <family val="2"/>
          </rPr>
          <t>Km(t):</t>
        </r>
        <r>
          <rPr>
            <sz val="9"/>
            <color indexed="81"/>
            <rFont val="Tahoma"/>
            <family val="2"/>
          </rPr>
          <t xml:space="preserve"> Número de kilómetros recorridos por trimestre por toda la flota de vehículos de la organización.
</t>
        </r>
        <r>
          <rPr>
            <b/>
            <sz val="9"/>
            <color indexed="81"/>
            <rFont val="Tahoma"/>
            <family val="2"/>
          </rPr>
          <t>Formula:</t>
        </r>
        <r>
          <rPr>
            <sz val="9"/>
            <color indexed="81"/>
            <rFont val="Tahoma"/>
            <family val="2"/>
          </rPr>
          <t xml:space="preserve">
TSV(n) - SV(tn) K / km(t)
</t>
        </r>
      </text>
    </comment>
    <comment ref="D20" authorId="0" shapeId="0" xr:uid="{FEEF8556-2CD4-43DE-A4BF-A7A67A87B652}">
      <text>
        <r>
          <rPr>
            <b/>
            <sz val="9"/>
            <color indexed="81"/>
            <rFont val="Tahoma"/>
            <family val="2"/>
          </rPr>
          <t xml:space="preserve">Resolución 595 del 2022: 
</t>
        </r>
        <r>
          <rPr>
            <sz val="9"/>
            <color indexed="81"/>
            <rFont val="Tahoma"/>
            <family val="2"/>
          </rPr>
          <t xml:space="preserve">Medir la cantidad de riesgos identificados, medir la cantidad  de riesgos con valoración alta.
Variables a medir en el indicador:
</t>
        </r>
        <r>
          <rPr>
            <b/>
            <sz val="9"/>
            <color indexed="81"/>
            <rFont val="Tahoma"/>
            <family val="2"/>
          </rPr>
          <t>RI(e):</t>
        </r>
        <r>
          <rPr>
            <sz val="9"/>
            <color indexed="81"/>
            <rFont val="Tahoma"/>
            <family val="2"/>
          </rPr>
          <t xml:space="preserve"> Cantidad de riesgos identificados al inicio del año (total en matriz).
</t>
        </r>
        <r>
          <rPr>
            <b/>
            <sz val="9"/>
            <color indexed="81"/>
            <rFont val="Tahoma"/>
            <family val="2"/>
          </rPr>
          <t>Rl(fa):</t>
        </r>
        <r>
          <rPr>
            <sz val="9"/>
            <color indexed="81"/>
            <rFont val="Tahoma"/>
            <family val="2"/>
          </rPr>
          <t xml:space="preserve"> Cantidad de riesgos identificados al final del año (total en matriz).
</t>
        </r>
        <r>
          <rPr>
            <b/>
            <sz val="9"/>
            <color indexed="81"/>
            <rFont val="Tahoma"/>
            <family val="2"/>
          </rPr>
          <t>RVA(la):</t>
        </r>
        <r>
          <rPr>
            <sz val="9"/>
            <color indexed="81"/>
            <rFont val="Tahoma"/>
            <family val="2"/>
          </rPr>
          <t xml:space="preserve"> Cantidad de riesgos con valoración alta al inicio del año.
</t>
        </r>
        <r>
          <rPr>
            <b/>
            <sz val="9"/>
            <color indexed="81"/>
            <rFont val="Tahoma"/>
            <family val="2"/>
          </rPr>
          <t>RVA(fa):</t>
        </r>
        <r>
          <rPr>
            <sz val="9"/>
            <color indexed="81"/>
            <rFont val="Tahoma"/>
            <family val="2"/>
          </rPr>
          <t xml:space="preserve"> Cantidad de riesgos con valoración alta al final del año.
</t>
        </r>
        <r>
          <rPr>
            <b/>
            <sz val="9"/>
            <color indexed="81"/>
            <rFont val="Tahoma"/>
            <family val="2"/>
          </rPr>
          <t>Formula:</t>
        </r>
        <r>
          <rPr>
            <sz val="9"/>
            <color indexed="81"/>
            <rFont val="Tahoma"/>
            <family val="2"/>
          </rPr>
          <t xml:space="preserve">
RSVl - RI(fa) - RI(la)
GRV - RVA(fa) - RVA(la)
</t>
        </r>
      </text>
    </comment>
    <comment ref="D24" authorId="0" shapeId="0" xr:uid="{C14FD385-D0AD-44BE-8E64-139EB29A3566}">
      <text>
        <r>
          <rPr>
            <b/>
            <sz val="9"/>
            <color indexed="81"/>
            <rFont val="Tahoma"/>
            <family val="2"/>
          </rPr>
          <t xml:space="preserve">Resolución 595 del 2022: </t>
        </r>
        <r>
          <rPr>
            <sz val="9"/>
            <color indexed="81"/>
            <rFont val="Tahoma"/>
            <family val="2"/>
          </rPr>
          <t xml:space="preserve">
Medir el cumplimiento de metas PESV.
Variables a medir en el indicador:
</t>
        </r>
        <r>
          <rPr>
            <b/>
            <sz val="9"/>
            <color indexed="81"/>
            <rFont val="Tahoma"/>
            <family val="2"/>
          </rPr>
          <t>MA(t):</t>
        </r>
        <r>
          <rPr>
            <sz val="9"/>
            <color indexed="81"/>
            <rFont val="Tahoma"/>
            <family val="2"/>
          </rPr>
          <t xml:space="preserve"> Numero de metas alcanzadas o logradas en el PESV por trimestre
</t>
        </r>
        <r>
          <rPr>
            <b/>
            <sz val="9"/>
            <color indexed="81"/>
            <rFont val="Tahoma"/>
            <family val="2"/>
          </rPr>
          <t>TM(t):</t>
        </r>
        <r>
          <rPr>
            <sz val="9"/>
            <color indexed="81"/>
            <rFont val="Tahoma"/>
            <family val="2"/>
          </rPr>
          <t xml:space="preserve"> Número total de metas definidas PESV por trimestre
</t>
        </r>
        <r>
          <rPr>
            <b/>
            <sz val="9"/>
            <color indexed="81"/>
            <rFont val="Tahoma"/>
            <family val="2"/>
          </rPr>
          <t>Formula:</t>
        </r>
        <r>
          <rPr>
            <sz val="9"/>
            <color indexed="81"/>
            <rFont val="Tahoma"/>
            <family val="2"/>
          </rPr>
          <t xml:space="preserve">
CM PESV - MA(t) / TM(t) * 100</t>
        </r>
      </text>
    </comment>
    <comment ref="D30" authorId="0" shapeId="0" xr:uid="{902D69B7-5792-4F7F-A2B8-2EBC52BFB67F}">
      <text>
        <r>
          <rPr>
            <b/>
            <sz val="9"/>
            <color indexed="81"/>
            <rFont val="Tahoma"/>
            <family val="2"/>
          </rPr>
          <t>Resolución 595 del 2022:</t>
        </r>
        <r>
          <rPr>
            <sz val="9"/>
            <color indexed="81"/>
            <rFont val="Tahoma"/>
            <family val="2"/>
          </rPr>
          <t xml:space="preserve">
Medir cumplimiento de actividades programadas.
Variables a medir en el indicador:
</t>
        </r>
        <r>
          <rPr>
            <b/>
            <sz val="9"/>
            <color indexed="81"/>
            <rFont val="Tahoma"/>
            <family val="2"/>
          </rPr>
          <t>AEPlan(t):</t>
        </r>
        <r>
          <rPr>
            <sz val="9"/>
            <color indexed="81"/>
            <rFont val="Tahoma"/>
            <family val="2"/>
          </rPr>
          <t xml:space="preserve"> Numero de actividades ejecutadas del plan anual de trabajo PESV por trimestre.
</t>
        </r>
        <r>
          <rPr>
            <b/>
            <sz val="9"/>
            <color indexed="81"/>
            <rFont val="Tahoma"/>
            <family val="2"/>
          </rPr>
          <t>APPlan(t):</t>
        </r>
        <r>
          <rPr>
            <sz val="9"/>
            <color indexed="81"/>
            <rFont val="Tahoma"/>
            <family val="2"/>
          </rPr>
          <t xml:space="preserve"> Numero total de actividades programadas del plan anual de trabajo PESV por trimestre.
</t>
        </r>
        <r>
          <rPr>
            <b/>
            <sz val="9"/>
            <color indexed="81"/>
            <rFont val="Tahoma"/>
            <family val="2"/>
          </rPr>
          <t>Formula:</t>
        </r>
        <r>
          <rPr>
            <sz val="9"/>
            <color indexed="81"/>
            <rFont val="Tahoma"/>
            <family val="2"/>
          </rPr>
          <t xml:space="preserve"> 
CPIan PESV - AEPlan(t) / APPlan(t) 100
</t>
        </r>
      </text>
    </comment>
    <comment ref="D36" authorId="0" shapeId="0" xr:uid="{5DE24AB3-5E83-4C14-B5F2-80DBF2AAC45E}">
      <text>
        <r>
          <rPr>
            <b/>
            <sz val="9"/>
            <color indexed="81"/>
            <rFont val="Tahoma"/>
            <family val="2"/>
          </rPr>
          <t>Resolución 595 del 2022:</t>
        </r>
        <r>
          <rPr>
            <sz val="9"/>
            <color indexed="81"/>
            <rFont val="Tahoma"/>
            <family val="2"/>
          </rPr>
          <t xml:space="preserve">
Determinar el exceso de jornada que puedan generar fatiga en la conducción.
variables a medir en el indicador:
</t>
        </r>
        <r>
          <rPr>
            <b/>
            <sz val="9"/>
            <color indexed="81"/>
            <rFont val="Tahoma"/>
            <family val="2"/>
          </rPr>
          <t>#EJD:</t>
        </r>
        <r>
          <rPr>
            <sz val="9"/>
            <color indexed="81"/>
            <rFont val="Tahoma"/>
            <family val="2"/>
          </rPr>
          <t xml:space="preserve"> Numero de excesos en la jornada diaria de trabajo de los conductores (eventos en los que los conductores han superado el tiempo máximo permitido en la legislación) por mes.
</t>
        </r>
        <r>
          <rPr>
            <b/>
            <sz val="9"/>
            <color indexed="81"/>
            <rFont val="Tahoma"/>
            <family val="2"/>
          </rPr>
          <t>#SDT:</t>
        </r>
        <r>
          <rPr>
            <sz val="9"/>
            <color indexed="81"/>
            <rFont val="Tahoma"/>
            <family val="2"/>
          </rPr>
          <t xml:space="preserve"> Sumatoria total de días trabajados por todos los conductores que realizan desplazamientos laborales por mes.
</t>
        </r>
        <r>
          <rPr>
            <b/>
            <sz val="9"/>
            <color indexed="81"/>
            <rFont val="Tahoma"/>
            <family val="2"/>
          </rPr>
          <t>Formula:</t>
        </r>
        <r>
          <rPr>
            <sz val="9"/>
            <color indexed="81"/>
            <rFont val="Tahoma"/>
            <family val="2"/>
          </rPr>
          <t xml:space="preserve">
%EJL = #EJD / #SDT* 100 
</t>
        </r>
      </text>
    </comment>
    <comment ref="D50" authorId="0" shapeId="0" xr:uid="{BA7208C1-BCEE-4BC6-975B-B353CEE141BE}">
      <text>
        <r>
          <rPr>
            <b/>
            <sz val="9"/>
            <color indexed="81"/>
            <rFont val="Tahoma"/>
            <family val="2"/>
          </rPr>
          <t xml:space="preserve">Resolución 595 del 2022:
</t>
        </r>
        <r>
          <rPr>
            <sz val="9"/>
            <color indexed="81"/>
            <rFont val="Tahoma"/>
            <family val="2"/>
          </rPr>
          <t xml:space="preserve">Identificar el estado del vehículo antes de su operación y puesta en marcha en víal.
Variables a medir en el indicador:
</t>
        </r>
        <r>
          <rPr>
            <b/>
            <sz val="9"/>
            <color indexed="81"/>
            <rFont val="Tahoma"/>
            <family val="2"/>
          </rPr>
          <t>#VID:</t>
        </r>
        <r>
          <rPr>
            <sz val="9"/>
            <color indexed="81"/>
            <rFont val="Tahoma"/>
            <family val="2"/>
          </rPr>
          <t xml:space="preserve"> Número de vehículos inspeccionados diariamente
</t>
        </r>
        <r>
          <rPr>
            <b/>
            <sz val="9"/>
            <color indexed="81"/>
            <rFont val="Tahoma"/>
            <family val="2"/>
          </rPr>
          <t>#TV:</t>
        </r>
        <r>
          <rPr>
            <sz val="9"/>
            <color indexed="81"/>
            <rFont val="Tahoma"/>
            <family val="2"/>
          </rPr>
          <t xml:space="preserve"> Número total de vehículos que trabajan diariamente.
</t>
        </r>
        <r>
          <rPr>
            <b/>
            <sz val="9"/>
            <color indexed="81"/>
            <rFont val="Tahoma"/>
            <family val="2"/>
          </rPr>
          <t>Formula:</t>
        </r>
        <r>
          <rPr>
            <sz val="9"/>
            <color indexed="81"/>
            <rFont val="Tahoma"/>
            <family val="2"/>
          </rPr>
          <t xml:space="preserve">
IDP - #VID / #TV* 100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64" authorId="0" shapeId="0" xr:uid="{3ECC99D8-2440-4228-B6AC-4A277F44C0E8}">
      <text>
        <r>
          <rPr>
            <b/>
            <sz val="9"/>
            <color indexed="81"/>
            <rFont val="Tahoma"/>
            <family val="2"/>
          </rPr>
          <t>Resolución 595 del 2022:</t>
        </r>
        <r>
          <rPr>
            <sz val="9"/>
            <color indexed="81"/>
            <rFont val="Tahoma"/>
            <family val="2"/>
          </rPr>
          <t xml:space="preserve">
Garantizar el estado óptimo de los vehículos puesto a disposición de la organización durante sus desplazamientos.
Variables a medir en el indicador:
</t>
        </r>
        <r>
          <rPr>
            <b/>
            <sz val="9"/>
            <color indexed="81"/>
            <rFont val="Tahoma"/>
            <family val="2"/>
          </rPr>
          <t>MEVh(t):</t>
        </r>
        <r>
          <rPr>
            <sz val="9"/>
            <color indexed="81"/>
            <rFont val="Tahoma"/>
            <family val="2"/>
          </rPr>
          <t xml:space="preserve"> Numero de actividades de mantenimiento preventivo ejecutadas por trimestre.
</t>
        </r>
        <r>
          <rPr>
            <b/>
            <sz val="9"/>
            <color indexed="81"/>
            <rFont val="Tahoma"/>
            <family val="2"/>
          </rPr>
          <t>MPVh(t):</t>
        </r>
        <r>
          <rPr>
            <sz val="9"/>
            <color indexed="81"/>
            <rFont val="Tahoma"/>
            <family val="2"/>
          </rPr>
          <t xml:space="preserve"> Numero total de actividades de mantenimiento preventivo programadas por trimestre.
</t>
        </r>
        <r>
          <rPr>
            <b/>
            <sz val="9"/>
            <color indexed="81"/>
            <rFont val="Tahoma"/>
            <family val="2"/>
          </rPr>
          <t>Formula:</t>
        </r>
        <r>
          <rPr>
            <sz val="9"/>
            <color indexed="81"/>
            <rFont val="Tahoma"/>
            <family val="2"/>
          </rPr>
          <t xml:space="preserve">
CPMVh - MEVh(t) / MPVh(t) * 100
</t>
        </r>
      </text>
    </comment>
    <comment ref="D70" authorId="0" shapeId="0" xr:uid="{CA31D8FD-3EEC-4A71-A289-009904F7B402}">
      <text>
        <r>
          <rPr>
            <b/>
            <sz val="9"/>
            <color indexed="81"/>
            <rFont val="Tahoma"/>
            <family val="2"/>
          </rPr>
          <t>Resolución 595 del 2022:</t>
        </r>
        <r>
          <rPr>
            <sz val="9"/>
            <color indexed="81"/>
            <rFont val="Tahoma"/>
            <family val="2"/>
          </rPr>
          <t xml:space="preserve">
Garantizar las competencias en seguridad vial de todos los colaboradores de la organización, con el fin de disminuir los siniestros de transito por comportamiento inseguros en la vía.
Variables a medir en el indicador:
</t>
        </r>
        <r>
          <rPr>
            <b/>
            <sz val="9"/>
            <color indexed="81"/>
            <rFont val="Tahoma"/>
            <family val="2"/>
          </rPr>
          <t>CESV(t):</t>
        </r>
        <r>
          <rPr>
            <sz val="9"/>
            <color indexed="81"/>
            <rFont val="Tahoma"/>
            <family val="2"/>
          </rPr>
          <t xml:space="preserve"> Numero de capacitaciones en seguriad vial ejecutadas por trimestre.
</t>
        </r>
        <r>
          <rPr>
            <b/>
            <sz val="9"/>
            <color indexed="81"/>
            <rFont val="Tahoma"/>
            <family val="2"/>
          </rPr>
          <t>CPSV(t):</t>
        </r>
        <r>
          <rPr>
            <sz val="9"/>
            <color indexed="81"/>
            <rFont val="Tahoma"/>
            <family val="2"/>
          </rPr>
          <t xml:space="preserve"> Numero total de capacitaciones en seguriad vial programadas por trimestre.
</t>
        </r>
        <r>
          <rPr>
            <b/>
            <sz val="9"/>
            <color indexed="81"/>
            <rFont val="Tahoma"/>
            <family val="2"/>
          </rPr>
          <t>Formula:</t>
        </r>
        <r>
          <rPr>
            <sz val="9"/>
            <color indexed="81"/>
            <rFont val="Tahoma"/>
            <family val="2"/>
          </rPr>
          <t xml:space="preserve">
CPFSV = CEPF(t) / CTPF(t)* 100
</t>
        </r>
      </text>
    </comment>
    <comment ref="D76" authorId="0" shapeId="0" xr:uid="{24D2E4FA-2665-4258-80DC-D6828771231D}">
      <text>
        <r>
          <rPr>
            <b/>
            <sz val="9"/>
            <color indexed="81"/>
            <rFont val="Tahoma"/>
            <family val="2"/>
          </rPr>
          <t>Resolución 595 del 2022:</t>
        </r>
        <r>
          <rPr>
            <sz val="9"/>
            <color indexed="81"/>
            <rFont val="Tahoma"/>
            <family val="2"/>
          </rPr>
          <t xml:space="preserve">
Garantizar las competencias en seguridad vial de todos los colaboradores de la organización, con el fin de disminuir los siniestros de transito por comportamiento inseguros en la vía.
Variables a medir en el indicador:
</t>
        </r>
        <r>
          <rPr>
            <b/>
            <sz val="9"/>
            <color indexed="81"/>
            <rFont val="Tahoma"/>
            <family val="2"/>
          </rPr>
          <t>CFSV(t):</t>
        </r>
        <r>
          <rPr>
            <sz val="9"/>
            <color indexed="81"/>
            <rFont val="Tahoma"/>
            <family val="2"/>
          </rPr>
          <t xml:space="preserve"> Numero de colaboradores de la organización capacitados en seguridad vial
</t>
        </r>
        <r>
          <rPr>
            <b/>
            <sz val="9"/>
            <color indexed="81"/>
            <rFont val="Tahoma"/>
            <family val="2"/>
          </rPr>
          <t>CT(t):</t>
        </r>
        <r>
          <rPr>
            <sz val="9"/>
            <color indexed="81"/>
            <rFont val="Tahoma"/>
            <family val="2"/>
          </rPr>
          <t xml:space="preserve"> Numero total colaboradores de la organización.
</t>
        </r>
        <r>
          <rPr>
            <b/>
            <sz val="9"/>
            <color indexed="81"/>
            <rFont val="Tahoma"/>
            <family val="2"/>
          </rPr>
          <t>Formula:</t>
        </r>
        <r>
          <rPr>
            <sz val="9"/>
            <color indexed="81"/>
            <rFont val="Tahoma"/>
            <family val="2"/>
          </rPr>
          <t xml:space="preserve">
CPFSV = CEPF(t) / CTPF(t)* 100
</t>
        </r>
      </text>
    </comment>
    <comment ref="D82" authorId="0" shapeId="0" xr:uid="{E7D2CFE8-F98C-40C1-A96A-0A1AEF6A39D0}">
      <text>
        <r>
          <rPr>
            <b/>
            <sz val="9"/>
            <color indexed="81"/>
            <rFont val="Tahoma"/>
            <family val="2"/>
          </rPr>
          <t>Resolución 595 del 2022:</t>
        </r>
        <r>
          <rPr>
            <sz val="9"/>
            <color indexed="81"/>
            <rFont val="Tahoma"/>
            <family val="2"/>
          </rPr>
          <t xml:space="preserve">
Garantizar el cumplimiento legal del PESV.
Variables a medir en el indicador:
</t>
        </r>
        <r>
          <rPr>
            <b/>
            <sz val="9"/>
            <color indexed="81"/>
            <rFont val="Tahoma"/>
            <family val="2"/>
          </rPr>
          <t>#NCI:</t>
        </r>
        <r>
          <rPr>
            <sz val="9"/>
            <color indexed="81"/>
            <rFont val="Tahoma"/>
            <family val="2"/>
          </rPr>
          <t xml:space="preserve"> Numero dé no conformidades identificadas y analizadas.
</t>
        </r>
        <r>
          <rPr>
            <b/>
            <sz val="9"/>
            <color indexed="81"/>
            <rFont val="Tahoma"/>
            <family val="2"/>
          </rPr>
          <t>#NCG:</t>
        </r>
        <r>
          <rPr>
            <sz val="9"/>
            <color indexed="81"/>
            <rFont val="Tahoma"/>
            <family val="2"/>
          </rPr>
          <t xml:space="preserve"> No conformidades gestionadas y cerradas.
</t>
        </r>
        <r>
          <rPr>
            <b/>
            <sz val="9"/>
            <color indexed="81"/>
            <rFont val="Tahoma"/>
            <family val="2"/>
          </rPr>
          <t>Formula:</t>
        </r>
        <r>
          <rPr>
            <sz val="9"/>
            <color indexed="81"/>
            <rFont val="Tahoma"/>
            <family val="2"/>
          </rPr>
          <t xml:space="preserve">
NCAN = #NCG / #NCI * 100 
</t>
        </r>
      </text>
    </comment>
  </commentList>
</comments>
</file>

<file path=xl/sharedStrings.xml><?xml version="1.0" encoding="utf-8"?>
<sst xmlns="http://schemas.openxmlformats.org/spreadsheetml/2006/main" count="229" uniqueCount="110">
  <si>
    <t>Siniestros viales x nivel de perdida</t>
  </si>
  <si>
    <t>Indicador 1</t>
  </si>
  <si>
    <t>Trimestral</t>
  </si>
  <si>
    <t>Fatales (Muertes)</t>
  </si>
  <si>
    <t>Graves (Mas de 30 dias de incapacidad)</t>
  </si>
  <si>
    <t>Leves (Hasta 30 dias de incapacidad)</t>
  </si>
  <si>
    <t>Choques Simples</t>
  </si>
  <si>
    <t>No. Siniestros Totales (SV)</t>
  </si>
  <si>
    <t>Km Trimestre (Km)</t>
  </si>
  <si>
    <t>Siniestros en kilometros</t>
  </si>
  <si>
    <t>Meta</t>
  </si>
  <si>
    <t>Observaciones</t>
  </si>
  <si>
    <t>Indicador 1 Tasa de siniestros (TSV)</t>
  </si>
  <si>
    <t>Trimestre 1</t>
  </si>
  <si>
    <t>Trimestre 2</t>
  </si>
  <si>
    <t>Trimestre 3</t>
  </si>
  <si>
    <t>Trimestre 4</t>
  </si>
  <si>
    <t>Indicador 3</t>
  </si>
  <si>
    <t>Indicador 3 Riesgos de seguridad vial identificados.
Gestión de riesgos viales (GRV)</t>
  </si>
  <si>
    <t>Anual</t>
  </si>
  <si>
    <t>Cantidad de riesgos identificados inicio de año (RI(ia)</t>
  </si>
  <si>
    <t>Cantidad de riesgos identificados final de año (RI(fa)</t>
  </si>
  <si>
    <t>Riesgos de seguridad vial identificados (RSVI)</t>
  </si>
  <si>
    <t>Cantidad de riesgos con valoración alta inicio de año (RVA(ia)</t>
  </si>
  <si>
    <t>Cantidad de riesgos con valoración alta final de año (RVA(fa)</t>
  </si>
  <si>
    <t>Gestión del riesgo vial (GRV)</t>
  </si>
  <si>
    <t>% Gestión riesgos identificados</t>
  </si>
  <si>
    <t>Meta estimada de riesgos con valoración alta</t>
  </si>
  <si>
    <t>% Gestión riesgos valoración alta</t>
  </si>
  <si>
    <t>Indicador 4</t>
  </si>
  <si>
    <t>Indicador 4 Cumplimiento metas PESV</t>
  </si>
  <si>
    <t>No. Metas alcanzadas (MA)</t>
  </si>
  <si>
    <t>No. Metas definidas ™</t>
  </si>
  <si>
    <t>Cumplimiento</t>
  </si>
  <si>
    <t>Indicador 5</t>
  </si>
  <si>
    <t>Indicador 5 Cumplimiento de actividades plan anual PESV</t>
  </si>
  <si>
    <t>No. Actividades ejecutadas (AEPlan)</t>
  </si>
  <si>
    <t>No. Actividades programadas (APPlan)</t>
  </si>
  <si>
    <t>Indicador 6</t>
  </si>
  <si>
    <t>Indicador 6 % excesos jornadas laborales (%EJLC)</t>
  </si>
  <si>
    <t>Mensual</t>
  </si>
  <si>
    <t>No. De excesos en la jornada (#EJD)</t>
  </si>
  <si>
    <t>Total dias trabajados x todos los conductores (#SDT)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</si>
  <si>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</si>
  <si>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</si>
  <si>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</si>
  <si>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</si>
  <si>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</si>
  <si>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</si>
  <si>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</si>
  <si>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</si>
  <si>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</si>
  <si>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</si>
  <si>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</si>
  <si>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</si>
  <si>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Indicador 9</t>
  </si>
  <si>
    <t>Indicador 9 Inspecciones diarias preoperacionales (IDP)</t>
  </si>
  <si>
    <t>No. Vehículos inspeccionados diariamente (#VID)</t>
  </si>
  <si>
    <t>No. Total de vehículos que trabajan diariamente (#TV)</t>
  </si>
  <si>
    <t>Indicador 10</t>
  </si>
  <si>
    <t>No. De Actividades de mantenimiento preventivo ejecutadas x trimestre (MEVh)</t>
  </si>
  <si>
    <t>No. Total de actividades de mantenimentos preventivo programadas (MPVh)</t>
  </si>
  <si>
    <t>Indicador 11</t>
  </si>
  <si>
    <t>Indicador 11 Cumplimiento plan de formación en seguridad vial (CPF PESV)</t>
  </si>
  <si>
    <t>No. Total de capacitaciones en seguridad vial programadas (CPSV)</t>
  </si>
  <si>
    <t>No. De capacitaciones en seguridad vial ejecutadas (CESV)</t>
  </si>
  <si>
    <t>Indicador 12</t>
  </si>
  <si>
    <t>Indicador 12 Cobertura plan de formación en seguridad vial (CPF PESV)</t>
  </si>
  <si>
    <t>No. De colaboradores de la organización capacitados en seguridad vial (CFSV)</t>
  </si>
  <si>
    <t>No. Total de colaboradores de la organización (CT)</t>
  </si>
  <si>
    <t>Indicador 13</t>
  </si>
  <si>
    <t>No.  De comformidades gestionadas y cerradas (#NCG)</t>
  </si>
  <si>
    <t>No.  De no comformidades identificadas y analizadas (#NCI)</t>
  </si>
  <si>
    <t>Indicador 14</t>
  </si>
  <si>
    <t>Indicador 14 Programa de distracciones</t>
  </si>
  <si>
    <t>No. Actividades ejecutadas (AEDist)</t>
  </si>
  <si>
    <t>No. Actividades programadas (APDist)</t>
  </si>
  <si>
    <t>Indicador 15</t>
  </si>
  <si>
    <t>Indicador 15 Programa de sustancias psicoactivas</t>
  </si>
  <si>
    <t>No. Actividades ejecutadas (AESust)</t>
  </si>
  <si>
    <t>No. Actividades programadas (APSust)</t>
  </si>
  <si>
    <t>Indicador 16</t>
  </si>
  <si>
    <t>Indicador 16 Programa de actores vulnerables</t>
  </si>
  <si>
    <t>No. Actividades ejecutadas (AEAct)</t>
  </si>
  <si>
    <t>No. Actividades programadas (APAct)</t>
  </si>
  <si>
    <t>Descripción</t>
  </si>
  <si>
    <t>Medida/Meta</t>
  </si>
  <si>
    <t>Indicador 13 No conformidades auditoría cerradas (NCAC)</t>
  </si>
  <si>
    <t>% de Excesos de Jornadas Laborales</t>
  </si>
  <si>
    <t>Indicador 10 Cumplimiento de plan mantenimiento preventivo de vehículos (CPMVh)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</si>
  <si>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</si>
  <si>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</si>
  <si>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</si>
  <si>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</si>
  <si>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</si>
  <si>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</si>
  <si>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</si>
  <si>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</si>
  <si>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</si>
  <si>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</si>
  <si>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</si>
  <si>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</si>
  <si>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Indicador 17</t>
  </si>
  <si>
    <t>Indicador 17 Programa de velocidad</t>
  </si>
  <si>
    <t>Objetivos</t>
  </si>
  <si>
    <t>FORMATO</t>
  </si>
  <si>
    <r>
      <t xml:space="preserve">Codigo: </t>
    </r>
    <r>
      <rPr>
        <sz val="11"/>
        <color rgb="FF000000"/>
        <rFont val="Arial"/>
        <family val="2"/>
        <scheme val="major"/>
      </rPr>
      <t>GH-FT-73</t>
    </r>
  </si>
  <si>
    <r>
      <t xml:space="preserve">Versión: </t>
    </r>
    <r>
      <rPr>
        <sz val="11"/>
        <color rgb="FF000000"/>
        <rFont val="Arial"/>
        <family val="2"/>
        <scheme val="major"/>
      </rPr>
      <t>1</t>
    </r>
  </si>
  <si>
    <r>
      <t xml:space="preserve">Fecha: </t>
    </r>
    <r>
      <rPr>
        <sz val="11"/>
        <color rgb="FF000000"/>
        <rFont val="Arial"/>
        <family val="2"/>
        <scheme val="major"/>
      </rPr>
      <t>26/09/2025</t>
    </r>
  </si>
  <si>
    <t>SEGUIMIENTO DE INDICADORES DEL PLAN ESTRATEGICO DE SEGURIDAD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</si>
</sst>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41" formatCode="_-* #,##0_-;\-* #,##0_-;_-* &quot;-&quot;_-;_-@_-"/>
    <numFmt numFmtId="164" formatCode="&quot;$&quot;\ #,##0"/>
  </numFmts>
  <fonts count="16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  <font>
      <sz val="8"/>
      <name val="Arial"/>
      <family val="2"/>
      <scheme val="minor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2"/>
      <color rgb="FF00000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ajor"/>
    </font>
    <font>
      <sz val="9"/>
      <color theme="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Arial"/>
      <family val="2"/>
    </font>
    <font>
      <b/>
      <sz val="20"/>
      <color rgb="FF000000"/>
      <name val="Arial"/>
      <family val="2"/>
    </font>
    <font>
      <sz val="11"/>
      <color rgb="FF000000"/>
      <name val="Arial"/>
      <family val="2"/>
      <scheme val="major"/>
    </font>
    <font>
      <b/>
      <sz val="11"/>
      <color rgb="FF000000"/>
      <name val="Arial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0" fillId="2" borderId="0" xfId="0" applyFill="1"/>
    <xf numFmtId="0" fontId="4" fillId="0" borderId="0" xfId="0" applyFont="1" applyProtection="1">
      <protection locked="0"/>
    </xf>
    <xf numFmtId="3" fontId="4" fillId="0" borderId="0" xfId="0" applyNumberFormat="1" applyFont="1" applyProtection="1"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3" fontId="3" fillId="0" borderId="8" xfId="0" applyNumberFormat="1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4" fillId="0" borderId="6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vertical="center"/>
      <protection locked="0"/>
    </xf>
    <xf numFmtId="3" fontId="4" fillId="0" borderId="2" xfId="0" applyNumberFormat="1" applyFont="1" applyBorder="1" applyAlignment="1" applyProtection="1">
      <alignment vertical="center"/>
      <protection locked="0"/>
    </xf>
    <xf numFmtId="1" fontId="4" fillId="0" borderId="2" xfId="0" applyNumberFormat="1" applyFont="1" applyBorder="1" applyAlignment="1" applyProtection="1">
      <alignment vertical="center"/>
      <protection locked="0"/>
    </xf>
    <xf numFmtId="3" fontId="3" fillId="0" borderId="9" xfId="0" applyNumberFormat="1" applyFont="1" applyBorder="1" applyAlignment="1" applyProtection="1">
      <alignment horizontal="center" vertical="center" wrapText="1"/>
      <protection locked="0"/>
    </xf>
    <xf numFmtId="9" fontId="4" fillId="0" borderId="0" xfId="2" applyFont="1" applyBorder="1" applyProtection="1">
      <protection locked="0"/>
    </xf>
    <xf numFmtId="3" fontId="4" fillId="0" borderId="0" xfId="0" applyNumberFormat="1" applyFont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vertical="center"/>
      <protection locked="0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 vertical="center"/>
      <protection hidden="1"/>
    </xf>
    <xf numFmtId="9" fontId="4" fillId="0" borderId="5" xfId="2" applyFont="1" applyBorder="1" applyAlignment="1" applyProtection="1">
      <alignment horizontal="center"/>
      <protection hidden="1"/>
    </xf>
    <xf numFmtId="164" fontId="4" fillId="0" borderId="1" xfId="1" applyNumberFormat="1" applyFont="1" applyBorder="1" applyAlignment="1" applyProtection="1">
      <alignment horizontal="center"/>
      <protection hidden="1"/>
    </xf>
    <xf numFmtId="164" fontId="4" fillId="0" borderId="2" xfId="1" applyNumberFormat="1" applyFont="1" applyBorder="1" applyAlignment="1" applyProtection="1">
      <alignment horizontal="center"/>
      <protection hidden="1"/>
    </xf>
    <xf numFmtId="3" fontId="4" fillId="0" borderId="1" xfId="0" applyNumberFormat="1" applyFont="1" applyBorder="1" applyAlignment="1" applyProtection="1">
      <alignment horizontal="center"/>
      <protection hidden="1"/>
    </xf>
    <xf numFmtId="3" fontId="9" fillId="0" borderId="0" xfId="0" applyNumberFormat="1" applyFont="1" applyAlignment="1" applyProtection="1">
      <alignment horizontal="center" wrapText="1"/>
      <protection locked="0"/>
    </xf>
    <xf numFmtId="3" fontId="4" fillId="3" borderId="1" xfId="0" applyNumberFormat="1" applyFont="1" applyFill="1" applyBorder="1" applyAlignment="1" applyProtection="1">
      <alignment horizontal="center"/>
      <protection locked="0"/>
    </xf>
    <xf numFmtId="9" fontId="4" fillId="0" borderId="1" xfId="2" applyFont="1" applyBorder="1" applyAlignment="1" applyProtection="1">
      <alignment horizontal="center"/>
      <protection hidden="1"/>
    </xf>
    <xf numFmtId="9" fontId="4" fillId="0" borderId="2" xfId="2" applyFont="1" applyBorder="1" applyAlignment="1" applyProtection="1">
      <alignment horizontal="center"/>
      <protection hidden="1"/>
    </xf>
    <xf numFmtId="0" fontId="8" fillId="4" borderId="7" xfId="0" applyFont="1" applyFill="1" applyBorder="1" applyAlignment="1">
      <alignment horizontal="center"/>
    </xf>
    <xf numFmtId="9" fontId="8" fillId="4" borderId="8" xfId="2" applyFont="1" applyFill="1" applyBorder="1" applyAlignment="1">
      <alignment horizontal="center"/>
    </xf>
    <xf numFmtId="1" fontId="4" fillId="0" borderId="1" xfId="0" applyNumberFormat="1" applyFont="1" applyBorder="1" applyAlignment="1" applyProtection="1">
      <alignment horizontal="center"/>
      <protection hidden="1"/>
    </xf>
    <xf numFmtId="3" fontId="4" fillId="3" borderId="2" xfId="0" applyNumberFormat="1" applyFont="1" applyFill="1" applyBorder="1" applyAlignment="1" applyProtection="1">
      <alignment horizontal="center"/>
      <protection locked="0"/>
    </xf>
    <xf numFmtId="3" fontId="4" fillId="0" borderId="1" xfId="0" applyNumberFormat="1" applyFont="1" applyBorder="1" applyAlignment="1">
      <alignment horizontal="center"/>
    </xf>
    <xf numFmtId="3" fontId="4" fillId="0" borderId="2" xfId="0" applyNumberFormat="1" applyFont="1" applyBorder="1" applyAlignment="1">
      <alignment horizontal="center"/>
    </xf>
    <xf numFmtId="41" fontId="4" fillId="0" borderId="1" xfId="0" applyNumberFormat="1" applyFont="1" applyBorder="1" applyAlignment="1" applyProtection="1">
      <alignment horizontal="center"/>
      <protection hidden="1"/>
    </xf>
    <xf numFmtId="41" fontId="4" fillId="0" borderId="2" xfId="0" applyNumberFormat="1" applyFont="1" applyBorder="1" applyAlignment="1" applyProtection="1">
      <alignment horizontal="center"/>
      <protection hidden="1"/>
    </xf>
    <xf numFmtId="41" fontId="4" fillId="3" borderId="1" xfId="0" applyNumberFormat="1" applyFont="1" applyFill="1" applyBorder="1" applyAlignment="1" applyProtection="1">
      <alignment horizontal="center"/>
      <protection locked="0"/>
    </xf>
    <xf numFmtId="3" fontId="4" fillId="3" borderId="1" xfId="0" applyNumberFormat="1" applyFont="1" applyFill="1" applyBorder="1" applyAlignment="1" applyProtection="1">
      <alignment horizontal="center" vertical="center"/>
      <protection locked="0"/>
    </xf>
    <xf numFmtId="1" fontId="4" fillId="0" borderId="1" xfId="0" applyNumberFormat="1" applyFont="1" applyBorder="1" applyAlignment="1" applyProtection="1">
      <alignment horizontal="center" vertical="center"/>
      <protection hidden="1"/>
    </xf>
    <xf numFmtId="9" fontId="4" fillId="0" borderId="8" xfId="2" applyFont="1" applyBorder="1" applyAlignment="1" applyProtection="1">
      <alignment horizontal="center" vertical="center"/>
      <protection hidden="1"/>
    </xf>
    <xf numFmtId="0" fontId="1" fillId="0" borderId="6" xfId="0" applyFont="1" applyBorder="1" applyAlignment="1">
      <alignment vertical="center" wrapText="1"/>
    </xf>
    <xf numFmtId="1" fontId="0" fillId="0" borderId="1" xfId="2" applyNumberFormat="1" applyFont="1" applyBorder="1" applyAlignment="1">
      <alignment horizontal="center" vertical="center" wrapText="1"/>
    </xf>
    <xf numFmtId="9" fontId="0" fillId="0" borderId="1" xfId="2" applyFont="1" applyBorder="1" applyAlignment="1">
      <alignment horizontal="center" vertical="center" wrapText="1"/>
    </xf>
    <xf numFmtId="9" fontId="1" fillId="0" borderId="1" xfId="2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9" fontId="4" fillId="0" borderId="2" xfId="0" applyNumberFormat="1" applyFont="1" applyBorder="1" applyAlignment="1" applyProtection="1">
      <alignment horizontal="center" vertical="center"/>
      <protection hidden="1"/>
    </xf>
    <xf numFmtId="9" fontId="10" fillId="0" borderId="10" xfId="2" applyFont="1" applyBorder="1" applyAlignment="1" applyProtection="1">
      <alignment horizontal="center" vertical="center"/>
      <protection hidden="1"/>
    </xf>
    <xf numFmtId="9" fontId="4" fillId="0" borderId="0" xfId="2" applyFont="1" applyBorder="1" applyAlignment="1" applyProtection="1">
      <alignment horizontal="center"/>
      <protection hidden="1"/>
    </xf>
    <xf numFmtId="3" fontId="4" fillId="0" borderId="0" xfId="0" applyNumberFormat="1" applyFont="1" applyAlignment="1" applyProtection="1">
      <alignment horizontal="center"/>
      <protection hidden="1"/>
    </xf>
    <xf numFmtId="3" fontId="4" fillId="0" borderId="2" xfId="0" applyNumberFormat="1" applyFont="1" applyBorder="1" applyAlignment="1" applyProtection="1">
      <alignment horizontal="center"/>
      <protection hidden="1"/>
    </xf>
    <xf numFmtId="9" fontId="1" fillId="0" borderId="2" xfId="2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 applyProtection="1">
      <alignment vertical="center"/>
      <protection locked="0"/>
    </xf>
    <xf numFmtId="41" fontId="4" fillId="5" borderId="2" xfId="0" applyNumberFormat="1" applyFont="1" applyFill="1" applyBorder="1" applyAlignment="1" applyProtection="1">
      <alignment horizontal="center"/>
      <protection locked="0"/>
    </xf>
    <xf numFmtId="3" fontId="4" fillId="5" borderId="2" xfId="0" applyNumberFormat="1" applyFont="1" applyFill="1" applyBorder="1" applyAlignment="1" applyProtection="1">
      <alignment horizontal="center"/>
      <protection locked="0"/>
    </xf>
    <xf numFmtId="3" fontId="4" fillId="5" borderId="1" xfId="0" applyNumberFormat="1" applyFont="1" applyFill="1" applyBorder="1" applyAlignment="1" applyProtection="1">
      <alignment horizontal="center"/>
      <protection locked="0"/>
    </xf>
    <xf numFmtId="3" fontId="4" fillId="5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2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3" fontId="3" fillId="0" borderId="2" xfId="0" applyNumberFormat="1" applyFont="1" applyBorder="1" applyAlignment="1" applyProtection="1">
      <alignment horizontal="center" vertical="distributed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12" fillId="0" borderId="1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/>
      <protection locked="0"/>
    </xf>
    <xf numFmtId="0" fontId="11" fillId="0" borderId="15" xfId="0" applyFont="1" applyBorder="1" applyAlignment="1" applyProtection="1">
      <alignment horizontal="center" vertical="center"/>
      <protection locked="0"/>
    </xf>
    <xf numFmtId="0" fontId="11" fillId="0" borderId="16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/>
      <protection locked="0"/>
    </xf>
    <xf numFmtId="0" fontId="11" fillId="0" borderId="18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/>
      <protection locked="0"/>
    </xf>
    <xf numFmtId="0" fontId="11" fillId="0" borderId="21" xfId="0" applyFont="1" applyBorder="1" applyAlignment="1" applyProtection="1">
      <alignment horizontal="center" vertical="center"/>
      <protection locked="0"/>
    </xf>
    <xf numFmtId="0" fontId="11" fillId="0" borderId="22" xfId="0" applyFont="1" applyBorder="1" applyAlignment="1" applyProtection="1">
      <alignment horizontal="center" vertical="center"/>
      <protection locked="0"/>
    </xf>
    <xf numFmtId="3" fontId="13" fillId="0" borderId="1" xfId="0" applyNumberFormat="1" applyFont="1" applyBorder="1" applyAlignment="1" applyProtection="1">
      <alignment horizontal="center" vertical="center"/>
      <protection locked="0"/>
    </xf>
    <xf numFmtId="0" fontId="15" fillId="0" borderId="20" xfId="0" applyFont="1" applyBorder="1" applyAlignment="1" applyProtection="1">
      <alignment horizontal="center" vertical="center"/>
      <protection locked="0"/>
    </xf>
    <xf numFmtId="3" fontId="15" fillId="0" borderId="20" xfId="0" applyNumberFormat="1" applyFont="1" applyBorder="1" applyAlignment="1" applyProtection="1">
      <alignment horizontal="center" vertical="center"/>
      <protection locked="0"/>
    </xf>
    <xf numFmtId="0" fontId="15" fillId="0" borderId="14" xfId="0" applyFont="1" applyBorder="1" applyAlignment="1" applyProtection="1">
      <alignment horizontal="center" vertical="center"/>
      <protection locked="0"/>
    </xf>
  </cellXfs>
  <cellStyles count="3">
    <cellStyle name="Moneda [0]" xfId="1" builtinId="7"/>
    <cellStyle name="Normal" xfId="0" builtinId="0"/>
    <cellStyle name="Porcentaje" xfId="2" builtinId="5"/>
  </cellStyles>
  <dxfs count="289"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3" formatCode="_-* #,##0_-;\-* #,##0_-;_-* &quot;-&quot;_-;_-@_-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0" tint="-0.1499984740745262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0" tint="-0.1499984740745262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protection locked="0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top style="thin">
          <color indexed="64"/>
        </top>
      </border>
    </dxf>
    <dxf>
      <protection locked="0" hidden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65" formatCode="#.##0"/>
      <protection locked="0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3" formatCode="_-* #,##0_-;\-* #,##0_-;_-* &quot;-&quot;_-;_-@_-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3" formatCode="_-* #,##0_-;\-* #,##0_-;_-* &quot;-&quot;_-;_-@_-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3" formatCode="_-* #,##0_-;\-* #,##0_-;_-* &quot;-&quot;_-;_-@_-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3" formatCode="_-* #,##0_-;\-* #,##0_-;_-* &quot;-&quot;_-;_-@_-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3" formatCode="_-* #,##0_-;\-* #,##0_-;_-* &quot;-&quot;_-;_-@_-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3" formatCode="_-* #,##0_-;\-* #,##0_-;_-* &quot;-&quot;_-;_-@_-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solid">
          <fgColor indexed="64"/>
          <bgColor theme="2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top style="thin">
          <color indexed="64"/>
        </top>
      </border>
    </dxf>
    <dxf>
      <protection locked="0" hidden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protection locked="0" hidden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64" formatCode="&quot;$&quot;\ 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3" formatCode="0%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" formatCode="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1" formatCode="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protection locked="0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1" Type="http://schemas.openxmlformats.org/officeDocument/2006/relationships/customXml" Target="../customXml/item1.xml"/><Relationship Id="rId10" Type="http://schemas.openxmlformats.org/officeDocument/2006/relationships/calcChain" Target="calcChain.xml"/><Relationship Id="rId9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solidFill>
                  <a:sysClr val="windowText" lastClr="000000"/>
                </a:solidFill>
              </a:rPr>
              <a:t>Indicador 4 Cumplimiento metas PESV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dLbl>
              <c:idx val="1"/>
              <c:layout>
                <c:manualLayout>
                  <c:x val="-5.5555555555556061E-3"/>
                  <c:y val="-2.3148148148148234E-2"/>
                </c:manualLayout>
              </c:layout>
              <c:spPr>
                <a:solidFill>
                  <a:srgbClr val="FFFFFF"/>
                </a:solidFill>
                <a:ln w="9525" cap="flat" cmpd="sng" algn="ctr">
                  <a:solidFill>
                    <a:srgbClr val="000000">
                      <a:lumMod val="25000"/>
                      <a:lumOff val="75000"/>
                    </a:srgb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>
                        <a:gd name="adj1" fmla="val -105591"/>
                        <a:gd name="adj2" fmla="val 47031"/>
                      </a:avLst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3-DBC1-431D-B416-D25B41B650CC}"/>
                </c:ext>
              </c:extLst>
            </c:dLbl>
            <c:dLbl>
              <c:idx val="2"/>
              <c:layout>
                <c:manualLayout>
                  <c:x val="-1.0185067526415994E-16"/>
                  <c:y val="-2.7777777777777863E-2"/>
                </c:manualLayout>
              </c:layout>
              <c:spPr>
                <a:solidFill>
                  <a:srgbClr val="FFFFFF"/>
                </a:solidFill>
                <a:ln w="9525" cap="flat" cmpd="sng" algn="ctr">
                  <a:solidFill>
                    <a:srgbClr val="000000">
                      <a:lumMod val="25000"/>
                      <a:lumOff val="75000"/>
                    </a:srgb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>
                        <a:gd name="adj1" fmla="val -103941"/>
                        <a:gd name="adj2" fmla="val 36642"/>
                      </a:avLst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2-DBC1-431D-B416-D25B41B650CC}"/>
                </c:ext>
              </c:extLst>
            </c:dLbl>
            <c:dLbl>
              <c:idx val="3"/>
              <c:layout>
                <c:manualLayout>
                  <c:x val="0"/>
                  <c:y val="-2.77777777777778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BC1-431D-B416-D25B41B650CC}"/>
                </c:ext>
              </c:extLst>
            </c:dLbl>
            <c:spPr>
              <a:solidFill>
                <a:srgbClr val="FFFFFF"/>
              </a:solidFill>
              <a:ln>
                <a:solidFill>
                  <a:srgbClr val="000000">
                    <a:lumMod val="25000"/>
                    <a:lumOff val="75000"/>
                  </a:srgb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'Indicadores Res 595 2022'!$E$25:$E$28</c:f>
              <c:strCache>
                <c:ptCount val="4"/>
                <c:pt idx="0">
                  <c:v>Trimestre 1</c:v>
                </c:pt>
                <c:pt idx="1">
                  <c:v>Trimestre 2</c:v>
                </c:pt>
                <c:pt idx="2">
                  <c:v>Trimestre 3</c:v>
                </c:pt>
                <c:pt idx="3">
                  <c:v>Trimestre 4</c:v>
                </c:pt>
              </c:strCache>
            </c:strRef>
          </c:cat>
          <c:val>
            <c:numRef>
              <c:f>'Indicadores Res 595 2022'!$H$25:$H$28</c:f>
              <c:numCache>
                <c:formatCode>0%</c:formatCode>
                <c:ptCount val="4"/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C1-431D-B416-D25B41B650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421740896"/>
        <c:axId val="421736632"/>
      </c:barChart>
      <c:catAx>
        <c:axId val="4217408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1736632"/>
        <c:crosses val="autoZero"/>
        <c:auto val="1"/>
        <c:lblAlgn val="ctr"/>
        <c:lblOffset val="100"/>
        <c:noMultiLvlLbl val="0"/>
      </c:catAx>
      <c:valAx>
        <c:axId val="421736632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4217408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miter lim="800000"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sz="1100" b="1">
                <a:solidFill>
                  <a:sysClr val="windowText" lastClr="000000"/>
                </a:solidFill>
              </a:rPr>
              <a:t>Indicador 1 Tasa de siniestros (TSV)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DF8-496A-9227-90A9A81EB21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'Indicadores Res 595 2022'!$E$14:$E$17</c:f>
              <c:strCache>
                <c:ptCount val="4"/>
                <c:pt idx="0">
                  <c:v>Trimestre 1</c:v>
                </c:pt>
                <c:pt idx="1">
                  <c:v>Trimestre 2</c:v>
                </c:pt>
                <c:pt idx="2">
                  <c:v>Trimestre 3</c:v>
                </c:pt>
                <c:pt idx="3">
                  <c:v>Trimestre 4</c:v>
                </c:pt>
              </c:strCache>
            </c:strRef>
          </c:cat>
          <c:val>
            <c:numRef>
              <c:f>'Indicadores Res 595 2022'!$L$14:$L$17</c:f>
              <c:numCache>
                <c:formatCode>_(* #,##0_);_(* \(#,##0\);_(* "-"_);_(@_)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F8-496A-9227-90A9A81EB2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05366576"/>
        <c:axId val="1405367232"/>
      </c:barChart>
      <c:catAx>
        <c:axId val="1405366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05367232"/>
        <c:crosses val="autoZero"/>
        <c:auto val="1"/>
        <c:lblAlgn val="ctr"/>
        <c:lblOffset val="100"/>
        <c:noMultiLvlLbl val="0"/>
      </c:catAx>
      <c:valAx>
        <c:axId val="1405367232"/>
        <c:scaling>
          <c:orientation val="minMax"/>
        </c:scaling>
        <c:delete val="1"/>
        <c:axPos val="l"/>
        <c:numFmt formatCode="_(* #,##0_);_(* \(#,##0\);_(* &quot;-&quot;_);_(@_)" sourceLinked="1"/>
        <c:majorTickMark val="none"/>
        <c:minorTickMark val="none"/>
        <c:tickLblPos val="nextTo"/>
        <c:crossAx val="14053665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50800" dist="38100" dir="5400000" algn="t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100" b="1">
                <a:solidFill>
                  <a:sysClr val="windowText" lastClr="000000"/>
                </a:solidFill>
              </a:rPr>
              <a:t>Indicador 5 Cumplimiento de actividades plan anual PESV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36804384746024393"/>
          <c:y val="0.25240678407565464"/>
          <c:w val="0.35018712366836496"/>
          <c:h val="0.5680516319047905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CB8-407B-BD19-1D723BB7D0FC}"/>
              </c:ext>
            </c:extLst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CB8-407B-BD19-1D723BB7D0FC}"/>
              </c:ext>
            </c:extLst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CB8-407B-BD19-1D723BB7D0FC}"/>
              </c:ext>
            </c:extLst>
          </c:dPt>
          <c:dPt>
            <c:idx val="3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CB8-407B-BD19-1D723BB7D0F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'Indicadores Res 595 2022'!$E$31:$E$34</c:f>
              <c:strCache>
                <c:ptCount val="4"/>
                <c:pt idx="0">
                  <c:v>Trimestre 1</c:v>
                </c:pt>
                <c:pt idx="1">
                  <c:v>Trimestre 2</c:v>
                </c:pt>
                <c:pt idx="2">
                  <c:v>Trimestre 3</c:v>
                </c:pt>
                <c:pt idx="3">
                  <c:v>Trimestre 4</c:v>
                </c:pt>
              </c:strCache>
            </c:strRef>
          </c:cat>
          <c:val>
            <c:numRef>
              <c:f>'Indicadores Res 595 2022'!$H$31:$H$34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CB8-407B-BD19-1D723BB7D0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sz="1100" b="1">
                <a:solidFill>
                  <a:sysClr val="windowText" lastClr="000000"/>
                </a:solidFill>
              </a:rPr>
              <a:t>Indicador 6 % excesos jornadas laborales (%EJLC)</a:t>
            </a:r>
          </a:p>
        </c:rich>
      </c:tx>
      <c:layout>
        <c:manualLayout>
          <c:xMode val="edge"/>
          <c:yMode val="edge"/>
          <c:x val="0.1376652684769544"/>
          <c:y val="4.45292620865139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70C0"/>
                </a:solidFill>
              </a:ln>
              <a:effectLst/>
            </c:spPr>
          </c:marker>
          <c:dLbls>
            <c:spPr>
              <a:solidFill>
                <a:srgbClr val="FFFFFF"/>
              </a:solidFill>
              <a:ln>
                <a:solidFill>
                  <a:srgbClr val="000000">
                    <a:lumMod val="25000"/>
                    <a:lumOff val="75000"/>
                  </a:srgb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'Indicadores Res 595 2022'!$E$37:$E$48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'Indicadores Res 595 2022'!$H$37:$H$48</c:f>
              <c:numCache>
                <c:formatCode>0%</c:formatCode>
                <c:ptCount val="12"/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48-42EE-A385-DA81B80F7B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1411623"/>
        <c:axId val="1181412279"/>
      </c:lineChart>
      <c:catAx>
        <c:axId val="11814116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81412279"/>
        <c:crosses val="autoZero"/>
        <c:auto val="1"/>
        <c:lblAlgn val="ctr"/>
        <c:lblOffset val="100"/>
        <c:noMultiLvlLbl val="0"/>
      </c:catAx>
      <c:valAx>
        <c:axId val="1181412279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11814116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solidFill>
                  <a:sysClr val="windowText" lastClr="000000"/>
                </a:solidFill>
              </a:rPr>
              <a:t>Indicador 9 Inspecciones diarias preoperacionales (IDP)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'Indicadores Res 595 2022'!$E$51:$E$62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'Indicadores Res 595 2022'!$H$51:$H$62</c:f>
              <c:numCache>
                <c:formatCode>0%</c:formatCode>
                <c:ptCount val="12"/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69-4B86-9197-E79CCEB23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19161560"/>
        <c:axId val="419161888"/>
      </c:barChart>
      <c:catAx>
        <c:axId val="4191615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19161888"/>
        <c:crosses val="autoZero"/>
        <c:auto val="1"/>
        <c:lblAlgn val="ctr"/>
        <c:lblOffset val="100"/>
        <c:noMultiLvlLbl val="0"/>
      </c:catAx>
      <c:valAx>
        <c:axId val="419161888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4191615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solidFill>
                  <a:sysClr val="windowText" lastClr="000000"/>
                </a:solidFill>
              </a:rPr>
              <a:t>Indicador 10 Cumplimiento de plan mantenimiento preventivo de vehículos (CPMVh)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'Indicadores Res 595 2022'!$E$65:$E$68</c:f>
              <c:strCache>
                <c:ptCount val="4"/>
                <c:pt idx="0">
                  <c:v>Trimestre 1</c:v>
                </c:pt>
                <c:pt idx="1">
                  <c:v>Trimestre 2</c:v>
                </c:pt>
                <c:pt idx="2">
                  <c:v>Trimestre 3</c:v>
                </c:pt>
                <c:pt idx="3">
                  <c:v>Trimestre 4</c:v>
                </c:pt>
              </c:strCache>
            </c:strRef>
          </c:cat>
          <c:val>
            <c:numRef>
              <c:f>'Indicadores Res 595 2022'!$H$65:$H$68</c:f>
              <c:numCache>
                <c:formatCode>0%</c:formatCode>
                <c:ptCount val="4"/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CC-4979-820D-41B571E058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9159264"/>
        <c:axId val="419162544"/>
      </c:barChart>
      <c:catAx>
        <c:axId val="419159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19162544"/>
        <c:crosses val="autoZero"/>
        <c:auto val="1"/>
        <c:lblAlgn val="ctr"/>
        <c:lblOffset val="100"/>
        <c:noMultiLvlLbl val="0"/>
      </c:catAx>
      <c:valAx>
        <c:axId val="419162544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419159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solidFill>
                  <a:sysClr val="windowText" lastClr="000000"/>
                </a:solidFill>
              </a:rPr>
              <a:t>Indicador 11 Cumplimiento plan de formación en seguridad vial (CPF PESV)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3BA-4845-9536-EAF918C4A122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3BA-4845-9536-EAF918C4A122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3BA-4845-9536-EAF918C4A122}"/>
              </c:ext>
            </c:extLst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3BA-4845-9536-EAF918C4A122}"/>
              </c:ext>
            </c:extLst>
          </c:dPt>
          <c:dLbls>
            <c:spPr>
              <a:solidFill>
                <a:srgbClr val="FFFFFF"/>
              </a:solidFill>
              <a:ln>
                <a:solidFill>
                  <a:srgbClr val="000000">
                    <a:lumMod val="25000"/>
                    <a:lumOff val="75000"/>
                  </a:srgbClr>
                </a:solidFill>
                <a:miter lim="800000"/>
              </a:ln>
              <a:effectLst>
                <a:softEdge rad="0"/>
              </a:effectLst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'Indicadores Res 595 2022'!$E$71:$E$74</c:f>
              <c:strCache>
                <c:ptCount val="4"/>
                <c:pt idx="0">
                  <c:v>Trimestre 1</c:v>
                </c:pt>
                <c:pt idx="1">
                  <c:v>Trimestre 2</c:v>
                </c:pt>
                <c:pt idx="2">
                  <c:v>Trimestre 3</c:v>
                </c:pt>
                <c:pt idx="3">
                  <c:v>Trimestre 4</c:v>
                </c:pt>
              </c:strCache>
            </c:strRef>
          </c:cat>
          <c:val>
            <c:numRef>
              <c:f>'Indicadores Res 595 2022'!$H$71:$H$74</c:f>
              <c:numCache>
                <c:formatCode>0%</c:formatCode>
                <c:ptCount val="4"/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3BA-4845-9536-EAF918C4A1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solidFill>
                  <a:sysClr val="windowText" lastClr="000000"/>
                </a:solidFill>
              </a:rPr>
              <a:t>Indicador 12 Cobertura plan de formación en seguridad vial (CPF PESV)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'Indicadores Res 595 2022'!$E$77:$E$80</c:f>
              <c:strCache>
                <c:ptCount val="4"/>
                <c:pt idx="0">
                  <c:v>Trimestre 1</c:v>
                </c:pt>
                <c:pt idx="1">
                  <c:v>Trimestre 2</c:v>
                </c:pt>
                <c:pt idx="2">
                  <c:v>Trimestre 3</c:v>
                </c:pt>
                <c:pt idx="3">
                  <c:v>Trimestre 4</c:v>
                </c:pt>
              </c:strCache>
            </c:strRef>
          </c:cat>
          <c:val>
            <c:numRef>
              <c:f>'Indicadores Res 595 2022'!$H$77:$H$80</c:f>
              <c:numCache>
                <c:formatCode>0%</c:formatCode>
                <c:ptCount val="4"/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22-4FA0-84D8-48F02F1998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35660312"/>
        <c:axId val="1335653096"/>
      </c:barChart>
      <c:catAx>
        <c:axId val="1335660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35653096"/>
        <c:crosses val="autoZero"/>
        <c:auto val="1"/>
        <c:lblAlgn val="ctr"/>
        <c:lblOffset val="100"/>
        <c:noMultiLvlLbl val="0"/>
      </c:catAx>
      <c:valAx>
        <c:axId val="1335653096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1335660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solidFill>
                  <a:sysClr val="windowText" lastClr="000000"/>
                </a:solidFill>
              </a:rPr>
              <a:t>Indicador 13 No conformidades auditoría cerradas (NCAC)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D5A-47DC-A645-EB00A4831CD7}"/>
              </c:ext>
            </c:extLst>
          </c:dPt>
          <c:val>
            <c:numRef>
              <c:f>'Indicadores Res 595 2022'!$H$83:$H$83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D5A-47DC-A645-EB00A4831C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3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CO" sz="1200" b="1" i="0" u="none" strike="noStrike" kern="1200" cap="all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CO"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rPr>
              <a:t>Indicador 15 Programa de sustancias psicoactivas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CO" sz="1200" b="1" i="0" u="none" strike="noStrike" kern="1200" cap="all" spc="0" normalizeH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5400" cap="rnd">
              <a:solidFill>
                <a:srgbClr val="00B050"/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none"/>
          </c:marker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'Indicadores Res 595 2022'!$E$100:$E$111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'Indicadores Res 595 2022'!$H$100:$H$111</c:f>
              <c:numCache>
                <c:formatCode>0%</c:formatCode>
                <c:ptCount val="12"/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36-4949-9B6D-DA6E02B6EF89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rgbClr val="0070C0"/>
              </a:solidFill>
              <a:round/>
            </a:ln>
            <a:effectLst/>
          </c:spPr>
        </c:dropLines>
        <c:smooth val="0"/>
        <c:axId val="1293437263"/>
        <c:axId val="1293432671"/>
      </c:lineChart>
      <c:catAx>
        <c:axId val="12934372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spc="3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293432671"/>
        <c:crosses val="autoZero"/>
        <c:auto val="1"/>
        <c:lblAlgn val="ctr"/>
        <c:lblOffset val="100"/>
        <c:noMultiLvlLbl val="0"/>
      </c:catAx>
      <c:valAx>
        <c:axId val="1293432671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12934372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lt1">
          <a:lumMod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solidFill>
                  <a:schemeClr val="tx1"/>
                </a:solidFill>
              </a:rPr>
              <a:t>Indicador 16 Programa de actores vulnerables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spPr>
              <a:solidFill>
                <a:srgbClr val="FFFFFF"/>
              </a:solidFill>
              <a:ln>
                <a:solidFill>
                  <a:srgbClr val="000000">
                    <a:lumMod val="25000"/>
                    <a:lumOff val="75000"/>
                  </a:srgb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'Indicadores Res 595 2022'!$E$114:$E$125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'Indicadores Res 595 2022'!$H$114:$H$125</c:f>
              <c:numCache>
                <c:formatCode>0%</c:formatCode>
                <c:ptCount val="12"/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F2-411F-B641-E4C23560F1E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319829591"/>
        <c:axId val="1319823359"/>
      </c:barChart>
      <c:catAx>
        <c:axId val="1319829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19823359"/>
        <c:crosses val="autoZero"/>
        <c:auto val="1"/>
        <c:lblAlgn val="ctr"/>
        <c:lblOffset val="100"/>
        <c:noMultiLvlLbl val="0"/>
      </c:catAx>
      <c:valAx>
        <c:axId val="1319823359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13198295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 sz="1200"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CO" sz="900" b="1">
                <a:solidFill>
                  <a:schemeClr val="tx1"/>
                </a:solidFill>
              </a:rPr>
              <a:t>Indicador 3 Riesgos de seguridad vial identificados.</a:t>
            </a:r>
          </a:p>
          <a:p>
            <a:pPr>
              <a:defRPr sz="900" b="1">
                <a:solidFill>
                  <a:schemeClr val="tx1"/>
                </a:solidFill>
              </a:defRPr>
            </a:pPr>
            <a:r>
              <a:rPr lang="es-CO" sz="900" b="1">
                <a:solidFill>
                  <a:schemeClr val="tx1"/>
                </a:solidFill>
              </a:rPr>
              <a:t>Gestión de riesgos viales (GRV)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37644736842105264"/>
          <c:y val="0.36356206629821236"/>
          <c:w val="0.34359649122807018"/>
          <c:h val="0.55807642406758495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75D-4588-8A14-BEFB6D6A1B9C}"/>
              </c:ext>
            </c:extLst>
          </c:dPt>
          <c:dPt>
            <c:idx val="1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75D-4588-8A14-BEFB6D6A1B9C}"/>
              </c:ext>
            </c:extLst>
          </c:dPt>
          <c:val>
            <c:numRef>
              <c:f>'Indicadores Res 595 2022'!$N$21:$N$22</c:f>
              <c:numCache>
                <c:formatCode>0%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75D-4588-8A14-BEFB6D6A1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sz="1200" b="1" i="0" baseline="0">
                <a:solidFill>
                  <a:sysClr val="windowText" lastClr="000000"/>
                </a:solidFill>
                <a:effectLst/>
              </a:rPr>
              <a:t>Indicador 14 Programa de distracciones</a:t>
            </a:r>
            <a:endParaRPr lang="es-CO" sz="1200">
              <a:solidFill>
                <a:sysClr val="windowText" lastClr="000000"/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00B05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'Indicadores Res 595 2022'!$E$86:$E$97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'Indicadores Res 595 2022'!$H$86:$H$97</c:f>
              <c:numCache>
                <c:formatCode>0%</c:formatCode>
                <c:ptCount val="12"/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F3-4D01-9E3D-61123EB456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42211327"/>
        <c:axId val="1042219647"/>
      </c:lineChart>
      <c:catAx>
        <c:axId val="10422113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42219647"/>
        <c:crosses val="autoZero"/>
        <c:auto val="1"/>
        <c:lblAlgn val="ctr"/>
        <c:lblOffset val="100"/>
        <c:noMultiLvlLbl val="0"/>
      </c:catAx>
      <c:valAx>
        <c:axId val="1042219647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1042211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solidFill>
                  <a:sysClr val="windowText" lastClr="000000"/>
                </a:solidFill>
              </a:rPr>
              <a:t>Indicador 17 Programa de velocidad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'Indicadores Res 595 2022'!$E$128:$E$139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'Indicadores Res 595 2022'!$H$128:$H$139</c:f>
              <c:numCache>
                <c:formatCode>0%</c:formatCode>
                <c:ptCount val="12"/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5C-4054-8207-8A16D77C32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axId val="727007503"/>
        <c:axId val="727009999"/>
      </c:barChart>
      <c:catAx>
        <c:axId val="72700750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27009999"/>
        <c:crosses val="autoZero"/>
        <c:auto val="1"/>
        <c:lblAlgn val="ctr"/>
        <c:lblOffset val="100"/>
        <c:noMultiLvlLbl val="0"/>
      </c:catAx>
      <c:valAx>
        <c:axId val="727009999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7270075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38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defRPr sz="900" kern="1200" spc="3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lt1">
            <a:lumMod val="85000"/>
          </a:schemeClr>
        </a:solidFill>
        <a:round/>
      </a:ln>
    </cs:spPr>
    <cs:defRPr sz="1000" kern="1200"/>
  </cs:chartArea>
  <cs:dataLabel>
    <cs:lnRef idx="0"/>
    <cs:fillRef idx="0">
      <cs:styleClr val="0"/>
    </cs:fillRef>
    <cs:effectRef idx="0"/>
    <cs:fontRef idx="minor">
      <a:schemeClr val="lt1"/>
    </cs:fontRef>
    <cs:spPr>
      <a:solidFill>
        <a:schemeClr val="phClr"/>
      </a:solidFill>
    </cs:spPr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25400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lt1"/>
            </a:gs>
            <a:gs pos="10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601548</xdr:colOff>
      <xdr:row>1</xdr:row>
      <xdr:rowOff>101677</xdr:rowOff>
    </xdr:from>
    <xdr:to>
      <xdr:col>3</xdr:col>
      <xdr:colOff>1646463</xdr:colOff>
      <xdr:row>3</xdr:row>
      <xdr:rowOff>163286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C358CA5-E4B4-4B93-A099-F9AE0D371D6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905" y="264963"/>
          <a:ext cx="1044915" cy="104132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13</xdr:col>
      <xdr:colOff>471714</xdr:colOff>
      <xdr:row>1</xdr:row>
      <xdr:rowOff>72570</xdr:rowOff>
    </xdr:from>
    <xdr:to>
      <xdr:col>14</xdr:col>
      <xdr:colOff>653143</xdr:colOff>
      <xdr:row>3</xdr:row>
      <xdr:rowOff>190499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14940A3-54E0-4BFC-B94C-2A6C0678654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8201821" y="235856"/>
          <a:ext cx="1283608" cy="109764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0</xdr:row>
      <xdr:rowOff>60960</xdr:rowOff>
    </xdr:from>
    <xdr:to>
      <xdr:col>6</xdr:col>
      <xdr:colOff>22860</xdr:colOff>
      <xdr:row>23</xdr:row>
      <xdr:rowOff>15240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79993DC-FE4A-4ABC-8D93-8C3C19F610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53340</xdr:colOff>
      <xdr:row>0</xdr:row>
      <xdr:rowOff>53340</xdr:rowOff>
    </xdr:from>
    <xdr:to>
      <xdr:col>11</xdr:col>
      <xdr:colOff>287965</xdr:colOff>
      <xdr:row>11</xdr:row>
      <xdr:rowOff>7620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64146EEE-3CD8-4F9B-B6D4-456577764D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53340</xdr:colOff>
      <xdr:row>11</xdr:row>
      <xdr:rowOff>30480</xdr:rowOff>
    </xdr:from>
    <xdr:to>
      <xdr:col>11</xdr:col>
      <xdr:colOff>287965</xdr:colOff>
      <xdr:row>23</xdr:row>
      <xdr:rowOff>15240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7AACE856-E6ED-4F44-A2E0-6818CFC043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321192</xdr:colOff>
      <xdr:row>11</xdr:row>
      <xdr:rowOff>30480</xdr:rowOff>
    </xdr:from>
    <xdr:to>
      <xdr:col>17</xdr:col>
      <xdr:colOff>719392</xdr:colOff>
      <xdr:row>23</xdr:row>
      <xdr:rowOff>15240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26876043-D56A-4A6E-81F0-7B63853217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34627</xdr:colOff>
      <xdr:row>23</xdr:row>
      <xdr:rowOff>30480</xdr:rowOff>
    </xdr:from>
    <xdr:to>
      <xdr:col>6</xdr:col>
      <xdr:colOff>22152</xdr:colOff>
      <xdr:row>36</xdr:row>
      <xdr:rowOff>152400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4741DEA2-9049-4EB9-8F35-0ADFBFCBE3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55379</xdr:colOff>
      <xdr:row>23</xdr:row>
      <xdr:rowOff>30480</xdr:rowOff>
    </xdr:from>
    <xdr:to>
      <xdr:col>11</xdr:col>
      <xdr:colOff>287965</xdr:colOff>
      <xdr:row>36</xdr:row>
      <xdr:rowOff>160020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CB5D225F-CB81-4517-991D-A09D065D1C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326062</xdr:colOff>
      <xdr:row>23</xdr:row>
      <xdr:rowOff>33224</xdr:rowOff>
    </xdr:from>
    <xdr:to>
      <xdr:col>17</xdr:col>
      <xdr:colOff>719912</xdr:colOff>
      <xdr:row>36</xdr:row>
      <xdr:rowOff>155057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5FAA3634-8DCA-49C7-81F7-7EE3192BF5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34620</xdr:colOff>
      <xdr:row>37</xdr:row>
      <xdr:rowOff>22152</xdr:rowOff>
    </xdr:from>
    <xdr:to>
      <xdr:col>6</xdr:col>
      <xdr:colOff>22151</xdr:colOff>
      <xdr:row>49</xdr:row>
      <xdr:rowOff>22152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0A640D67-8F4B-4A38-B186-63E625A008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</xdr:col>
      <xdr:colOff>52010</xdr:colOff>
      <xdr:row>37</xdr:row>
      <xdr:rowOff>18695</xdr:rowOff>
    </xdr:from>
    <xdr:to>
      <xdr:col>11</xdr:col>
      <xdr:colOff>287965</xdr:colOff>
      <xdr:row>49</xdr:row>
      <xdr:rowOff>11075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1527469E-9320-4486-AEE5-9165B56AE6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34643</xdr:colOff>
      <xdr:row>49</xdr:row>
      <xdr:rowOff>59542</xdr:rowOff>
    </xdr:from>
    <xdr:to>
      <xdr:col>6</xdr:col>
      <xdr:colOff>22151</xdr:colOff>
      <xdr:row>66</xdr:row>
      <xdr:rowOff>22948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87B0FC60-F61F-432C-ADAE-CB317A9453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69997</xdr:colOff>
      <xdr:row>49</xdr:row>
      <xdr:rowOff>48466</xdr:rowOff>
    </xdr:from>
    <xdr:to>
      <xdr:col>11</xdr:col>
      <xdr:colOff>299040</xdr:colOff>
      <xdr:row>66</xdr:row>
      <xdr:rowOff>11872</xdr:rowOff>
    </xdr:to>
    <xdr:graphicFrame macro="">
      <xdr:nvGraphicFramePr>
        <xdr:cNvPr id="23" name="Gráfico 22">
          <a:extLst>
            <a:ext uri="{FF2B5EF4-FFF2-40B4-BE49-F238E27FC236}">
              <a16:creationId xmlns:a16="http://schemas.microsoft.com/office/drawing/2014/main" id="{88844F5A-65BB-48B9-B637-170FE1A5E8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11</xdr:col>
      <xdr:colOff>321191</xdr:colOff>
      <xdr:row>0</xdr:row>
      <xdr:rowOff>55378</xdr:rowOff>
    </xdr:from>
    <xdr:to>
      <xdr:col>17</xdr:col>
      <xdr:colOff>716744</xdr:colOff>
      <xdr:row>11</xdr:row>
      <xdr:rowOff>12700</xdr:rowOff>
    </xdr:to>
    <xdr:graphicFrame macro="">
      <xdr:nvGraphicFramePr>
        <xdr:cNvPr id="24" name="Gráfico 23">
          <a:extLst>
            <a:ext uri="{FF2B5EF4-FFF2-40B4-BE49-F238E27FC236}">
              <a16:creationId xmlns:a16="http://schemas.microsoft.com/office/drawing/2014/main" id="{1A484956-EEAA-4B25-A332-1E13992CD9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11</xdr:col>
      <xdr:colOff>332262</xdr:colOff>
      <xdr:row>37</xdr:row>
      <xdr:rowOff>11073</xdr:rowOff>
    </xdr:from>
    <xdr:to>
      <xdr:col>17</xdr:col>
      <xdr:colOff>708838</xdr:colOff>
      <xdr:row>49</xdr:row>
      <xdr:rowOff>11077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B40FD426-0873-43E8-8CC9-120B440422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11</xdr:col>
      <xdr:colOff>343343</xdr:colOff>
      <xdr:row>49</xdr:row>
      <xdr:rowOff>44303</xdr:rowOff>
    </xdr:from>
    <xdr:to>
      <xdr:col>17</xdr:col>
      <xdr:colOff>719913</xdr:colOff>
      <xdr:row>66</xdr:row>
      <xdr:rowOff>11075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626A33E6-E6C7-49E0-AFDF-67899A3EFC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0.41667</cdr:x>
      <cdr:y>0.46701</cdr:y>
    </cdr:from>
    <cdr:to>
      <cdr:x>0.59375</cdr:x>
      <cdr:y>0.67535</cdr:y>
    </cdr:to>
    <cdr:sp macro="" textlink="'Indicadores Res 595 2022'!$H$83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BB0E80CB-D657-6ECB-2573-CE7F2DCD1C5C}"/>
            </a:ext>
          </a:extLst>
        </cdr:cNvPr>
        <cdr:cNvSpPr txBox="1"/>
      </cdr:nvSpPr>
      <cdr:spPr>
        <a:xfrm xmlns:a="http://schemas.openxmlformats.org/drawingml/2006/main">
          <a:off x="1905000" y="1281112"/>
          <a:ext cx="809625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AF4757FD-B4E4-46F3-B6B2-504CADFC7E68}" type="TxLink">
            <a:rPr lang="en-US" sz="2000" b="1" i="0" u="none" strike="noStrike">
              <a:solidFill>
                <a:srgbClr val="0070C0"/>
              </a:solidFill>
              <a:latin typeface="Calibri"/>
              <a:cs typeface="Calibri"/>
            </a:rPr>
            <a:pPr algn="ctr"/>
            <a:t> </a:t>
          </a:fld>
          <a:endParaRPr lang="es-CO" sz="2000" b="1">
            <a:solidFill>
              <a:srgbClr val="0070C0"/>
            </a:solidFill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0.4476</cdr:x>
      <cdr:y>0.50329</cdr:y>
    </cdr:from>
    <cdr:to>
      <cdr:x>0.66427</cdr:x>
      <cdr:y>0.74287</cdr:y>
    </cdr:to>
    <cdr:sp macro="" textlink="'Indicadores Res 595 2022'!$N$21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4F5AA7DE-0441-E1EF-B417-1E7561B264EF}"/>
            </a:ext>
          </a:extLst>
        </cdr:cNvPr>
        <cdr:cNvSpPr txBox="1"/>
      </cdr:nvSpPr>
      <cdr:spPr>
        <a:xfrm xmlns:a="http://schemas.openxmlformats.org/drawingml/2006/main">
          <a:off x="1293234" y="902517"/>
          <a:ext cx="626014" cy="4296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4B319FEF-5E1B-448E-836E-DA79FB2CD2AC}" type="TxLink">
            <a:rPr lang="en-US" sz="1400" b="1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 </a:t>
          </a:fld>
          <a:endParaRPr lang="es-CO" sz="1400" b="1"/>
        </a:p>
      </cdr:txBody>
    </cdr:sp>
  </cdr:relSizeAnchor>
  <cdr:relSizeAnchor xmlns:cdr="http://schemas.openxmlformats.org/drawingml/2006/chartDrawing">
    <cdr:from>
      <cdr:x>0.00901</cdr:x>
      <cdr:y>0.4544</cdr:y>
    </cdr:from>
    <cdr:to>
      <cdr:x>0.33882</cdr:x>
      <cdr:y>0.77103</cdr:y>
    </cdr:to>
    <cdr:sp macro="" textlink="">
      <cdr:nvSpPr>
        <cdr:cNvPr id="3" name="CuadroTexto 2">
          <a:extLst xmlns:a="http://schemas.openxmlformats.org/drawingml/2006/main">
            <a:ext uri="{FF2B5EF4-FFF2-40B4-BE49-F238E27FC236}">
              <a16:creationId xmlns:a16="http://schemas.microsoft.com/office/drawing/2014/main" id="{F24D798E-744D-0D56-6CD6-5F473997E756}"/>
            </a:ext>
          </a:extLst>
        </cdr:cNvPr>
        <cdr:cNvSpPr txBox="1"/>
      </cdr:nvSpPr>
      <cdr:spPr>
        <a:xfrm xmlns:a="http://schemas.openxmlformats.org/drawingml/2006/main">
          <a:off x="26035" y="807778"/>
          <a:ext cx="953319" cy="5628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r>
            <a:rPr lang="es-CO" sz="800" b="1"/>
            <a:t>%</a:t>
          </a:r>
          <a:r>
            <a:rPr lang="es-CO" sz="800" b="1" baseline="0"/>
            <a:t> de gestión en riesgos con valoración alta</a:t>
          </a:r>
          <a:endParaRPr lang="es-CO" sz="800" b="1"/>
        </a:p>
      </cdr:txBody>
    </cdr:sp>
  </cdr:relSizeAnchor>
</c:userShapes>
</file>

<file path=xl/persons/person.xml><?xml version="1.0" encoding="utf-8"?>
<personList xmlns="http://schemas.microsoft.com/office/spreadsheetml/2018/threadedcomments" xmlns:x="http://schemas.openxmlformats.org/spreadsheetml/2006/main">
  <person displayName="Natalia Monsalve" id="{7EEC7837-9179-4F4E-8691-75EEB9A80D66}" userId="S::liceth.monsalve@global.komatsu::de18c2bb-5e9d-4178-b0b5-38ef696c845a" providerId="AD"/>
  <person displayName="Natalia Monsalve" id="{3FAB253D-011C-4D1F-9D5D-3DC9E370B7B9}" userId="S::natalia.monsalve@global.komatsu::de18c2bb-5e9d-4178-b0b5-38ef696c845a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5AFB797-1CE8-4DAF-ABE8-F3EC9649BE76}" name="Indicador3" displayName="Indicador3" ref="E20:O22" totalsRowShown="0" headerRowDxfId="288" dataDxfId="286" headerRowBorderDxfId="287" tableBorderDxfId="285" totalsRowBorderDxfId="284">
  <autoFilter ref="E20:O22" xr:uid="{15AFB797-1CE8-4DAF-ABE8-F3EC9649BE7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FB25BE44-C3C5-4075-924F-B1611E46F042}" name="Anual" dataDxfId="283"/>
    <tableColumn id="2" xr3:uid="{A0B30FB6-1C1B-4042-B0F5-AE800FB42F99}" name="Cantidad de riesgos identificados inicio de año (RI(ia)" dataDxfId="282" totalsRowDxfId="281"/>
    <tableColumn id="3" xr3:uid="{088456CC-F024-49E5-941A-A581BDA4963D}" name="Cantidad de riesgos identificados final de año (RI(fa)" dataDxfId="280" totalsRowDxfId="279"/>
    <tableColumn id="4" xr3:uid="{ED002BC1-DD39-4138-84CB-98122AE2EE38}" name="Riesgos de seguridad vial identificados (RSVI)" dataDxfId="278" totalsRowDxfId="277">
      <calculatedColumnFormula>IF(Indicador3[[#This Row],[Cantidad de riesgos identificados final de año (RI(fa)]]=Indicador3[[#This Row],[Cantidad de riesgos identificados inicio de año (RI(ia)]],Indicador3[[#This Row],[Cantidad de riesgos identificados inicio de año (RI(ia)]],IF(Indicador3[[#This Row],[Cantidad de riesgos identificados final de año (RI(fa)]]&lt;Indicador3[[#This Row],[Cantidad de riesgos identificados inicio de año (RI(ia)]],Indicador3[[#This Row],[Cantidad de riesgos identificados final de año (RI(fa)]],IF(Indicador3[[#This Row],[Cantidad de riesgos identificados final de año (RI(fa)]]&gt;Indicador3[[#This Row],[Cantidad de riesgos identificados inicio de año (RI(ia)]],Indicador3[[#This Row],[Cantidad de riesgos identificados final de año (RI(fa)]])))</calculatedColumnFormula>
    </tableColumn>
    <tableColumn id="5" xr3:uid="{1778DE04-1706-42D0-A611-4FC532F18207}" name="Cantidad de riesgos con valoración alta inicio de año (RVA(ia)" dataDxfId="276" totalsRowDxfId="275"/>
    <tableColumn id="6" xr3:uid="{DCCFDE58-478D-489A-B44A-12A6949D22AC}" name="Cantidad de riesgos con valoración alta final de año (RVA(fa)" dataDxfId="274" totalsRowDxfId="273"/>
    <tableColumn id="7" xr3:uid="{EAA0C4DE-7408-4459-B0F5-A8EEF7D182BA}" name="Gestión del riesgo vial (GRV)" dataDxfId="272">
      <calculatedColumnFormula>IF(Indicador3[[#This Row],[Cantidad de riesgos con valoración alta final de año (RVA(fa)]]=Indicador3[[#This Row],[Cantidad de riesgos con valoración alta inicio de año (RVA(ia)]],Indicador3[[#This Row],[Cantidad de riesgos con valoración alta final de año (RVA(fa)]],IF(Indicador3[[#This Row],[Cantidad de riesgos con valoración alta final de año (RVA(fa)]]&lt;Indicador3[[#This Row],[Cantidad de riesgos con valoración alta inicio de año (RVA(ia)]],Indicador3[[#This Row],[Cantidad de riesgos con valoración alta final de año (RVA(fa)]],IF(Indicador3[[#This Row],[Cantidad de riesgos con valoración alta final de año (RVA(fa)]]&gt;Indicador3[[#This Row],[Cantidad de riesgos con valoración alta inicio de año (RVA(ia)]],Indicador3[[#This Row],[Cantidad de riesgos con valoración alta final de año (RVA(fa)]])))</calculatedColumnFormula>
    </tableColumn>
    <tableColumn id="11" xr3:uid="{8208B83A-5578-4CA5-860D-A1D8566134CF}" name="% Gestión riesgos identificados" dataDxfId="271" totalsRowDxfId="270" dataCellStyle="Porcentaje"/>
    <tableColumn id="9" xr3:uid="{E91D9DB3-44FF-4B79-BB50-D19A1FAF2DD1}" name="Meta estimada de riesgos con valoración alta" dataDxfId="269">
      <calculatedColumnFormula>'Objetivos y metas'!C3</calculatedColumnFormula>
    </tableColumn>
    <tableColumn id="12" xr3:uid="{A3BD1AE8-9563-43A9-BA0E-B29A1D7BEC34}" name="% Gestión riesgos valoración alta" dataDxfId="268" dataCellStyle="Porcentaje">
      <calculatedColumnFormula>(Indicador3[[#This Row],[Gestión del riesgo vial (GRV)]]-Indicador3[[#This Row],[Meta estimada de riesgos con valoración alta]])/Indicador3[[#This Row],[Meta estimada de riesgos con valoración alta]]</calculatedColumnFormula>
    </tableColumn>
    <tableColumn id="10" xr3:uid="{130AB20F-EE29-4CFF-B28F-7DB939F407B3}" name="Observaciones" dataDxfId="267" totalsRowDxfId="266" dataCellStyle="Moneda [0]">
      <calculatedColumnFormula>IF(Indicador3[[#This Row],[% Gestión riesgos valoración alta]]="","",IF(Indicador3[[#This Row],[Meta estimada de riesgos con valoración alta]]="","",IF(Indicador3[[#This Row],[% Gestión riesgos valoración alta]]&gt;=Indicador3[[#This Row],[Meta estimada de riesgos con valoración alta]],"Cumple","No Cumple")))</calculatedColumnFormula>
    </tableColumn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C8F41B-9E69-4965-99C0-A5684665C5D9}" name="Indicador1" displayName="Indicador1" ref="E13:N17" totalsRowShown="0" headerRowDxfId="265" dataDxfId="263" totalsRowDxfId="261" headerRowBorderDxfId="264" tableBorderDxfId="262" totalsRowBorderDxfId="260">
  <autoFilter ref="E13:N17" xr:uid="{1BC8F41B-9E69-4965-99C0-A5684665C5D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</autoFilter>
  <tableColumns count="10">
    <tableColumn id="1" xr3:uid="{F9E5465F-9062-4ABE-A70B-187C35A7220D}" name="Trimestral" dataDxfId="259" totalsRowDxfId="258"/>
    <tableColumn id="2" xr3:uid="{81194E88-EABB-4862-A5B6-089B42970FA3}" name="Fatales (Muertes)" dataDxfId="257" totalsRowDxfId="256"/>
    <tableColumn id="3" xr3:uid="{B7D2407B-686C-4D59-8694-75F6D99AB7D9}" name="Graves (Mas de 30 dias de incapacidad)" dataDxfId="255" totalsRowDxfId="254"/>
    <tableColumn id="4" xr3:uid="{D1F44A79-FCF7-4AEB-B5A7-0E21EE8FD049}" name="Leves (Hasta 30 dias de incapacidad)" dataDxfId="253" totalsRowDxfId="252"/>
    <tableColumn id="10" xr3:uid="{58FDF64F-311A-4823-B126-0ACD96F0AA51}" name="Choques Simples" dataDxfId="251" totalsRowDxfId="250"/>
    <tableColumn id="5" xr3:uid="{CDF6A87A-AF11-4D34-8B1C-1B5E76D784A5}" name="No. Siniestros Totales (SV)" dataDxfId="249" totalsRowDxfId="248">
      <calculatedColumnFormula>SUM(Indicador1[[#This Row],[Fatales (Muertes)]:[Choques Simples]])</calculatedColumnFormula>
    </tableColumn>
    <tableColumn id="6" xr3:uid="{9AC5D964-1002-4E16-A02C-F3D851AC8B89}" name="Km Trimestre (Km)" dataDxfId="247" totalsRowDxfId="246">
      <calculatedColumnFormula>85839+51860+41389+84871+18759+19357+2198+1830+21944+44923+47783+3803+42905+103942</calculatedColumnFormula>
    </tableColumn>
    <tableColumn id="7" xr3:uid="{CF123982-D69C-445E-840B-95C264FE1818}" name="Siniestros en kilometros" dataDxfId="245" totalsRowDxfId="244">
      <calculatedColumnFormula>IFERROR(Indicador1[[#This Row],[No. Siniestros Totales (SV)]]*1000000/Indicador1[[#This Row],[Km Trimestre (Km)]],"")</calculatedColumnFormula>
    </tableColumn>
    <tableColumn id="8" xr3:uid="{81D42B06-5576-4760-BBC6-BC86640AACC9}" name="Meta" dataDxfId="243" totalsRowDxfId="242">
      <calculatedColumnFormula>IF(Indicador1[[#This Row],[Siniestros en kilometros]]="","",'Objetivos y metas'!$C$2)</calculatedColumnFormula>
    </tableColumn>
    <tableColumn id="9" xr3:uid="{E91884D1-FBEF-4CE7-B46E-C94519FC4996}" name="Observaciones" dataDxfId="241" totalsRowDxfId="240" dataCellStyle="Porcentaje">
      <calculatedColumnFormula>IF(Indicador1[[#This Row],[No. Siniestros Totales (SV)]]="","",IF(Indicador1[[#This Row],[Meta]]="","",IF(Indicador1[[#This Row],[No. Siniestros Totales (SV)]]&lt;=Indicador1[[#This Row],[Meta]],"Cumple","No Cumple")))</calculatedColumnFormula>
    </tableColumn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1358154-4086-44A9-AD7F-CCBBCD2CDF7F}" name="Indicador4" displayName="Indicador4" ref="E24:J28" totalsRowShown="0" headerRowDxfId="239" dataDxfId="237" totalsRowDxfId="235" headerRowBorderDxfId="238" tableBorderDxfId="236" totalsRowBorderDxfId="234">
  <autoFilter ref="E24:J28" xr:uid="{A1358154-4086-44A9-AD7F-CCBBCD2CDF7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B9BC992E-2A0F-4261-85D7-CD011A79D695}" name="Trimestral" dataDxfId="233" totalsRowDxfId="232"/>
    <tableColumn id="2" xr3:uid="{E3B8FA17-9142-4ECC-BCC9-140A73523E80}" name="No. Metas alcanzadas (MA)" dataDxfId="231" totalsRowDxfId="230"/>
    <tableColumn id="3" xr3:uid="{C0E20761-8F40-4CBF-81C6-F7D00669F938}" name="No. Metas definidas ™" dataDxfId="229" totalsRowDxfId="228"/>
    <tableColumn id="4" xr3:uid="{A7BF370E-288C-4B44-A4AC-2937B5E4614F}" name="Cumplimiento" dataDxfId="227" totalsRowDxfId="226">
      <calculatedColumnFormula>IFERROR(Indicador4[[#This Row],[No. Metas alcanzadas (MA)]]/Indicador4[[#This Row],[No. Metas definidas ™]],"")</calculatedColumnFormula>
    </tableColumn>
    <tableColumn id="7" xr3:uid="{5A1AE710-EE52-402B-85B4-041C59BCE981}" name="Meta" dataDxfId="225" totalsRowDxfId="224" dataCellStyle="Porcentaje">
      <calculatedColumnFormula>IF(Indicador4[[#This Row],[Cumplimiento]]="","",'Objetivos y metas'!$C$4)</calculatedColumnFormula>
    </tableColumn>
    <tableColumn id="5" xr3:uid="{864CDA25-B7C1-4AD9-A576-26DB41E89357}" name="Observaciones" dataDxfId="223" totalsRowDxfId="222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027CCA9-A39A-470D-B0A4-0F3F1CC4BE02}" name="Indicador5" displayName="Indicador5" ref="E30:J34" totalsRowShown="0" headerRowDxfId="221" dataDxfId="219" totalsRowDxfId="217" headerRowBorderDxfId="220" tableBorderDxfId="218" totalsRowBorderDxfId="216">
  <autoFilter ref="E30:J34" xr:uid="{6027CCA9-A39A-470D-B0A4-0F3F1CC4BE0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9B449B4-FFCB-4E56-9601-4A0E40626F47}" name="Trimestral" dataDxfId="215" totalsRowDxfId="214"/>
    <tableColumn id="2" xr3:uid="{8A802992-2477-4F0F-93EC-2A9EF07B9B79}" name="No. Actividades ejecutadas (AEPlan)" dataDxfId="213" totalsRowDxfId="212"/>
    <tableColumn id="3" xr3:uid="{B0BE7507-D002-40D5-A9A6-00679016558B}" name="No. Actividades programadas (APPlan)" dataDxfId="211" totalsRowDxfId="210"/>
    <tableColumn id="4" xr3:uid="{72785780-9CE2-4C4F-BE0F-BFFA43048B57}" name="Cumplimiento" dataDxfId="209" totalsRowDxfId="208" dataCellStyle="Porcentaje">
      <calculatedColumnFormula>IF(Indicador5[[#This Row],[No. Actividades ejecutadas (AEPlan)]]="","",IF(Indicador5[[#This Row],[No. Actividades programadas (APPlan)]]="","",Indicador5[[#This Row],[No. Actividades ejecutadas (AEPlan)]]/Indicador5[[#This Row],[No. Actividades programadas (APPlan)]]))</calculatedColumnFormula>
    </tableColumn>
    <tableColumn id="6" xr3:uid="{AADD04B2-9CDA-4C57-B2B5-28CFE2F6A68E}" name="Meta" dataDxfId="207" totalsRowDxfId="206" dataCellStyle="Porcentaje">
      <calculatedColumnFormula>IF(Indicador5[[#This Row],[Cumplimiento]]="","",'Objetivos y metas'!$C$5)</calculatedColumnFormula>
    </tableColumn>
    <tableColumn id="5" xr3:uid="{0C62C488-32B3-427D-878E-8CA1D3401A61}" name="Observaciones" dataDxfId="205" totalsRowDxfId="204">
      <calculatedColumnFormula>IF(Indicador5[[#This Row],[Cumplimiento]]="","",IF(Indicador5[[#This Row],[Cumplimiento]]&gt;=Indicador5[[#This Row],[Meta]],"Cumple","No Cumple"))</calculatedColumnFormula>
    </tableColumn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84DB375-2A6B-4764-9C1F-9E59BEFD71EC}" name="Indicador6" displayName="Indicador6" ref="E36:J48" totalsRowShown="0" headerRowDxfId="203" dataDxfId="201" totalsRowDxfId="199" headerRowBorderDxfId="202" tableBorderDxfId="200" totalsRowBorderDxfId="198">
  <autoFilter ref="E36:J48" xr:uid="{E84DB375-2A6B-4764-9C1F-9E59BEFD71E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8D13F334-262E-4405-BC40-C3FCD9FC84FE}" name="Mensual" dataDxfId="197" totalsRowDxfId="196"/>
    <tableColumn id="2" xr3:uid="{D6EA0694-15DA-4B9F-9653-F4093F408C6D}" name="No. De excesos en la jornada (#EJD)" dataDxfId="195" totalsRowDxfId="194"/>
    <tableColumn id="3" xr3:uid="{E045D656-64E9-423A-9123-8774BBECBC6C}" name="Total dias trabajados x todos los conductores (#SDT)" dataDxfId="193" totalsRowDxfId="192"/>
    <tableColumn id="4" xr3:uid="{E5ADC68E-E204-4F65-ABDC-530811AF2DA1}" name="% de Excesos de Jornadas Laborales" dataDxfId="191" totalsRowDxfId="190" dataCellStyle="Porcentaje">
      <calculatedColumnFormula>IF(Indicador6[[#This Row],[No. De excesos en la jornada ('#EJD)]]="","",IF(Indicador6[[#This Row],[Total dias trabajados x todos los conductores ('#SDT)]]="","",Indicador6[[#This Row],[No. De excesos en la jornada ('#EJD)]]/Indicador6[[#This Row],[Total dias trabajados x todos los conductores ('#SDT)]]))</calculatedColumnFormula>
    </tableColumn>
    <tableColumn id="6" xr3:uid="{9D8CC915-BD2F-418A-A3D4-B9110B8FFB1B}" name="Meta" dataDxfId="189" totalsRowDxfId="188" dataCellStyle="Porcentaje">
      <calculatedColumnFormula>IF(Indicador6[[#This Row],[% de Excesos de Jornadas Laborales]]="","",'Objetivos y metas'!$C$6)</calculatedColumnFormula>
    </tableColumn>
    <tableColumn id="5" xr3:uid="{28563ED3-32A2-4032-A8F7-7220106D6CE2}" name="Observaciones" dataDxfId="187" totalsRowDxfId="186">
      <calculatedColumnFormula>IF(Indicador6[[#This Row],[% de Excesos de Jornadas Laborales]]="","",IF(Indicador6[[#This Row],[% de Excesos de Jornadas Laborales]]&gt;=Indicador6[[#This Row],[Meta]],"No Cumple","Cumple"))</calculatedColumnFormula>
    </tableColumn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EF71D7BF-0584-4DDE-A15D-9BFB808250CB}" name="Indicador9" displayName="Indicador9" ref="E50:J62" totalsRowShown="0" headerRowDxfId="185" dataDxfId="183" totalsRowDxfId="181" headerRowBorderDxfId="184" tableBorderDxfId="182" totalsRowBorderDxfId="180">
  <autoFilter ref="E50:J62" xr:uid="{EF71D7BF-0584-4DDE-A15D-9BFB808250C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42FF46FA-C143-457A-B4E9-95B24C59780A}" name="Mensual" dataDxfId="179" totalsRowDxfId="178"/>
    <tableColumn id="2" xr3:uid="{32B1BD3E-AB3F-4E96-A01F-3DD31DA9A467}" name="No. Vehículos inspeccionados diariamente (#VID)" dataDxfId="177" totalsRowDxfId="176"/>
    <tableColumn id="3" xr3:uid="{593201AC-DD48-4A70-AAF4-F76D47660CE1}" name="No. Total de vehículos que trabajan diariamente (#TV)" dataDxfId="175" totalsRowDxfId="174"/>
    <tableColumn id="4" xr3:uid="{E0BBAEB4-A7BD-4EED-A45B-1037560CB653}" name="Cumplimiento" dataDxfId="173" dataCellStyle="Porcentaje">
      <calculatedColumnFormula>IF(Indicador9[[#This Row],[No. Vehículos inspeccionados diariamente ('#VID)]]="","",IF(Indicador9[[#This Row],[No. Total de vehículos que trabajan diariamente ('#TV)]]="","",Indicador9[[#This Row],[No. Vehículos inspeccionados diariamente ('#VID)]]/Indicador9[[#This Row],[No. Vehículos inspeccionados diariamente ('#VID)]]))</calculatedColumnFormula>
    </tableColumn>
    <tableColumn id="6" xr3:uid="{6FE65773-EB3F-4B62-B69C-B5935C467FDA}" name="Meta" dataDxfId="172" totalsRowDxfId="171" dataCellStyle="Porcentaje">
      <calculatedColumnFormula>IF(Indicador9[[#This Row],[Cumplimiento]]="","",'Objetivos y metas'!$C$7)</calculatedColumnFormula>
    </tableColumn>
    <tableColumn id="5" xr3:uid="{48213ABE-CFB7-42A3-900F-DE289C11AB8B}" name="Observaciones" dataDxfId="170" totalsRowDxfId="169">
      <calculatedColumnFormula>IF(Indicador9[[#This Row],[Cumplimiento]]="","",IF(Indicador9[[#This Row],[Cumplimiento]]&gt;=Indicador9[[#This Row],[Meta]],"Cumple","No Cumple"))</calculatedColumnFormula>
    </tableColumn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1E6173A-25F8-49BF-A12F-D98A3695BE43}" name="Indicador10" displayName="Indicador10" ref="E64:J68" totalsRowShown="0" headerRowDxfId="168" dataDxfId="166" totalsRowDxfId="164" headerRowBorderDxfId="167" tableBorderDxfId="165" totalsRowBorderDxfId="163">
  <autoFilter ref="E64:J68" xr:uid="{B1E6173A-25F8-49BF-A12F-D98A3695BE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17B519BE-3C90-40A3-BBB1-E902A338D3E0}" name="Trimestral" dataDxfId="162" totalsRowDxfId="161"/>
    <tableColumn id="2" xr3:uid="{F6221386-7903-4C14-ADB6-9062B743BC2C}" name="No. De Actividades de mantenimiento preventivo ejecutadas x trimestre (MEVh)" dataDxfId="160" totalsRowDxfId="159"/>
    <tableColumn id="3" xr3:uid="{EAAA52C8-CE07-45BE-85CA-478ED8479BF7}" name="No. Total de actividades de mantenimentos preventivo programadas (MPVh)" dataDxfId="158" totalsRowDxfId="157"/>
    <tableColumn id="4" xr3:uid="{A6C4CCCE-3183-4226-9158-DA9A35F04A2B}" name="Cumplimiento" dataDxfId="156" totalsRowDxfId="155" dataCellStyle="Porcentaje">
      <calculatedColumnFormula>IF(Indicador10[[#This Row],[No. De Actividades de mantenimiento preventivo ejecutadas x trimestre (MEVh)]]="","",IF(Indicador10[[#This Row],[No. Total de actividades de mantenimentos preventivo programadas (MPVh)]]="","",Indicador10[[#This Row],[No. De Actividades de mantenimiento preventivo ejecutadas x trimestre (MEVh)]]/Indicador10[[#This Row],[No. Total de actividades de mantenimentos preventivo programadas (MPVh)]]))</calculatedColumnFormula>
    </tableColumn>
    <tableColumn id="6" xr3:uid="{1A513EF2-FCE7-4ACD-A028-886E7FA246A2}" name="Meta" dataDxfId="154" totalsRowDxfId="153" dataCellStyle="Porcentaje">
      <calculatedColumnFormula>IF(Indicador10[[#This Row],[Cumplimiento]]="","",'Objetivos y metas'!$C$8)</calculatedColumnFormula>
    </tableColumn>
    <tableColumn id="5" xr3:uid="{A454B9BF-3602-4BBF-9254-29EAC0B1695C}" name="Observaciones" dataDxfId="152" totalsRowDxfId="151">
      <calculatedColumnFormula>IF(Indicador10[[#This Row],[Cumplimiento]]="","",IF(Indicador10[[#This Row],[Cumplimiento]]&gt;=Indicador10[[#This Row],[Meta]],"Cumple","No Cumple"))</calculatedColumnFormula>
    </tableColumn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8B3E94B0-AF89-4C36-9727-CEB00B3C813F}" name="Indicador11" displayName="Indicador11" ref="E70:J74" totalsRowShown="0" headerRowDxfId="150" dataDxfId="148" totalsRowDxfId="146" headerRowBorderDxfId="149" tableBorderDxfId="147" totalsRowBorderDxfId="145">
  <autoFilter ref="E70:J74" xr:uid="{8B3E94B0-AF89-4C36-9727-CEB00B3C813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C4B7A8CD-3B4A-4D97-AB51-911750A9C428}" name="Trimestral" dataDxfId="144" totalsRowDxfId="143"/>
    <tableColumn id="2" xr3:uid="{427B85C2-438D-4EBB-B2D8-4DCA5F6D5979}" name="No. Total de capacitaciones en seguridad vial programadas (CPSV)" dataDxfId="142" totalsRowDxfId="141"/>
    <tableColumn id="3" xr3:uid="{3C3499F5-0B2E-4937-96F8-ADF3CE8CA4DE}" name="No. De capacitaciones en seguridad vial ejecutadas (CESV)" dataDxfId="140" totalsRowDxfId="139"/>
    <tableColumn id="4" xr3:uid="{0D982733-0DDE-43DF-A995-F615434F0B29}" name="Cumplimiento" dataDxfId="138" totalsRowDxfId="137" dataCellStyle="Porcentaje">
      <calculatedColumnFormula>IF(Indicador11[[#This Row],[No. Total de capacitaciones en seguridad vial programadas (CPSV)]]="","",IF(Indicador11[[#This Row],[No. De capacitaciones en seguridad vial ejecutadas (CESV)]]="","",Indicador11[[#This Row],[No. De capacitaciones en seguridad vial ejecutadas (CESV)]]/Indicador11[[#This Row],[No. Total de capacitaciones en seguridad vial programadas (CPSV)]]))</calculatedColumnFormula>
    </tableColumn>
    <tableColumn id="6" xr3:uid="{7C0A00BD-D879-4DA2-A4A8-0CBEC21A5B5A}" name="Meta" dataDxfId="136" totalsRowDxfId="135" dataCellStyle="Porcentaje">
      <calculatedColumnFormula>IF(Indicador11[[#This Row],[Cumplimiento]]="","",'Objetivos y metas'!$C$9)</calculatedColumnFormula>
    </tableColumn>
    <tableColumn id="5" xr3:uid="{E3DEB749-0D84-4441-88C5-B4DDBBFF7A14}" name="Observaciones" dataDxfId="134" totalsRowDxfId="133">
      <calculatedColumnFormula>IF(Indicador11[[#This Row],[Cumplimiento]]="","",IF(Indicador11[[#This Row],[Cumplimiento]]&gt;=Indicador11[[#This Row],[Meta]],"Cumple","No Cumple"))</calculatedColumnFormula>
    </tableColumn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9BBD2FD7-8B75-4DD8-9625-71D049F87884}" name="Indicador12" displayName="Indicador12" ref="E76:J80" totalsRowShown="0" headerRowDxfId="132" dataDxfId="130" totalsRowDxfId="128" headerRowBorderDxfId="131" tableBorderDxfId="129" totalsRowBorderDxfId="127">
  <autoFilter ref="E76:J80" xr:uid="{9BBD2FD7-8B75-4DD8-9625-71D049F8788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3DFF7F14-9DFA-4466-8B7D-8999DD402929}" name="Trimestral" dataDxfId="126" totalsRowDxfId="125"/>
    <tableColumn id="2" xr3:uid="{0549756C-87DE-49DB-AC05-490B3EC8428E}" name="No. De colaboradores de la organización capacitados en seguridad vial (CFSV)" dataDxfId="124" totalsRowDxfId="123"/>
    <tableColumn id="3" xr3:uid="{DE3F02F4-E3BB-4D4B-83C2-1FAFE36FE02E}" name="No. Total de colaboradores de la organización (CT)" dataDxfId="122" totalsRowDxfId="121"/>
    <tableColumn id="4" xr3:uid="{33DD3FCE-6847-4271-83D6-184B26CBA00B}" name="Cumplimiento" dataDxfId="120" totalsRowDxfId="119" dataCellStyle="Porcentaje">
      <calculatedColumnFormula>IFERROR(Indicador12[[#This Row],[No. De colaboradores de la organización capacitados en seguridad vial (CFSV)]]/Indicador12[[#This Row],[No. Total de colaboradores de la organización (CT)]],"")</calculatedColumnFormula>
    </tableColumn>
    <tableColumn id="6" xr3:uid="{8FA388E3-0B9F-49F3-B25E-0113BD53F693}" name="Meta" dataDxfId="118" totalsRowDxfId="117" dataCellStyle="Porcentaje">
      <calculatedColumnFormula>IF(Indicador12[[#This Row],[Cumplimiento]]="","",'Objetivos y metas'!$C$10)</calculatedColumnFormula>
    </tableColumn>
    <tableColumn id="5" xr3:uid="{B0AC6B79-2526-4F8C-8F0C-DB3326279528}" name="Observaciones" dataDxfId="116" totalsRowDxfId="115">
      <calculatedColumnFormula>IF(Indicador12[[#This Row],[Cumplimiento]]="","",IF(Indicador12[[#This Row],[Cumplimiento]]&gt;=Indicador12[[#This Row],[Meta]],"Cumple","No Cumple"))</calculatedColumnFormula>
    </tableColumn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DE018278-6A9D-4D0D-B7FF-A611D781B46F}" name="Indicador13" displayName="Indicador13" ref="E82:J83" totalsRowShown="0" headerRowDxfId="114" dataDxfId="112" headerRowBorderDxfId="113" tableBorderDxfId="111" totalsRowBorderDxfId="110">
  <autoFilter ref="E82:J83" xr:uid="{DE018278-6A9D-4D0D-B7FF-A611D781B46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6906728B-9D83-4F47-810E-226B6501178D}" name="Anual" dataDxfId="109" totalsRowDxfId="108"/>
    <tableColumn id="2" xr3:uid="{A465BFA5-227B-4E20-94A1-8AFCA74FCFAC}" name="No.  De comformidades gestionadas y cerradas (#NCG)" dataDxfId="107" totalsRowDxfId="106"/>
    <tableColumn id="3" xr3:uid="{BB510334-DE59-40CA-896F-E09DEB1677B3}" name="No.  De no comformidades identificadas y analizadas (#NCI)" dataDxfId="105"/>
    <tableColumn id="4" xr3:uid="{834B47F1-9EF1-461A-8C6D-8437B7FB4462}" name="Cumplimiento" dataDxfId="104" dataCellStyle="Porcentaje">
      <calculatedColumnFormula>IF(Indicador13[[#This Row],[No.  De comformidades gestionadas y cerradas ('#NCG)]]="","",Indicador13[[#This Row],[No.  De comformidades gestionadas y cerradas ('#NCG)]]/Indicador13[[#This Row],[No.  De no comformidades identificadas y analizadas ('#NCI)]])</calculatedColumnFormula>
    </tableColumn>
    <tableColumn id="5" xr3:uid="{F9579A82-E587-409F-9CA0-A2E7EBF47262}" name="Meta" dataDxfId="103" totalsRowDxfId="102">
      <calculatedColumnFormula>IF(Indicador13[[#This Row],[Cumplimiento]]="","",'Objetivos y metas'!#REF!)</calculatedColumnFormula>
    </tableColumn>
    <tableColumn id="10" xr3:uid="{3ED5648B-529D-4858-945D-10C288F0C3C7}" name="Observaciones" dataDxfId="101" dataCellStyle="Moneda [0]">
      <calculatedColumnFormula>IF(Indicador13[[#This Row],[Cumplimiento]]="","",IF(Indicador13[[#This Row],[Cumplimiento]]&gt;=Indicador13[[#This Row],[Meta]],"Cumple","No Cumple"))</calculatedColumnFormula>
    </tableColumn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E9993E11-EA72-4071-874D-4A03ED55BDDD}" name="Indicador14" displayName="Indicador14" ref="E85:J97" totalsRowShown="0" headerRowDxfId="100" dataDxfId="98" totalsRowDxfId="96" headerRowBorderDxfId="99" tableBorderDxfId="97" totalsRowBorderDxfId="95">
  <autoFilter ref="E85:J97" xr:uid="{E9993E11-EA72-4071-874D-4A03ED55BDD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9C147828-F5B5-4537-8718-0316276C1EEA}" name="Mensual" dataDxfId="94" totalsRowDxfId="93"/>
    <tableColumn id="2" xr3:uid="{84B551C5-B602-4454-9A2D-DC74CE34113B}" name="No. Actividades ejecutadas (AEDist)" dataDxfId="92" totalsRowDxfId="91"/>
    <tableColumn id="3" xr3:uid="{02423D74-C6BD-4A61-85AA-2E183F9C61D1}" name="No. Actividades programadas (APDist)" dataDxfId="90" totalsRowDxfId="89"/>
    <tableColumn id="4" xr3:uid="{39454A77-18BD-49F9-BAD9-A6100D2B4D00}" name="Cumplimiento" dataDxfId="88" totalsRowDxfId="87" dataCellStyle="Porcentaje">
      <calculatedColumnFormula>IFERROR(Indicador14[[#This Row],[No. Actividades ejecutadas (AEDist)]]/Indicador14[[#This Row],[No. Actividades programadas (APDist)]],"")</calculatedColumnFormula>
    </tableColumn>
    <tableColumn id="6" xr3:uid="{5D0965E9-C2D0-47AF-AFDD-278924DE7BE3}" name="Meta" dataDxfId="86" totalsRowDxfId="85" dataCellStyle="Porcentaje">
      <calculatedColumnFormula>IF(Indicador14[[#This Row],[Cumplimiento]]="","",'Objetivos y metas'!$C$11)</calculatedColumnFormula>
    </tableColumn>
    <tableColumn id="5" xr3:uid="{1E32647F-C701-4459-89A3-4E7EFAF06931}" name="Observaciones" dataDxfId="84" totalsRowDxfId="83">
      <calculatedColumnFormula>IF(Indicador14[[#This Row],[Cumplimiento]]="","",IF(Indicador14[[#This Row],[Cumplimiento]]&gt;=Indicador14[[#This Row],[Meta]],"Cumple","No Cumple"))</calculatedColumnFormula>
    </tableColumn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AF26901F-D8C7-4D0F-A93D-DAF643D5EC41}" name="Indicador15" displayName="Indicador15" ref="E99:J111" totalsRowShown="0" headerRowDxfId="82" dataDxfId="80" totalsRowDxfId="78" headerRowBorderDxfId="81" tableBorderDxfId="79" totalsRowBorderDxfId="77">
  <autoFilter ref="E99:J111" xr:uid="{AF26901F-D8C7-4D0F-A93D-DAF643D5EC4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E9B4890D-F1AA-4197-92B4-71C8C9525298}" name="Mensual" dataDxfId="76" totalsRowDxfId="75"/>
    <tableColumn id="2" xr3:uid="{18096E69-871E-45A6-9215-F35FB4A8363D}" name="No. Actividades ejecutadas (AESust)" dataDxfId="74" totalsRowDxfId="73"/>
    <tableColumn id="3" xr3:uid="{EEED47CD-8E0F-49BC-BCFA-9003C17CEF6F}" name="No. Actividades programadas (APSust)" dataDxfId="72" totalsRowDxfId="71"/>
    <tableColumn id="4" xr3:uid="{40BF5D4F-AFEF-4833-B1A4-8723073B639F}" name="Cumplimiento" dataDxfId="70" totalsRowDxfId="69" dataCellStyle="Porcentaje">
      <calculatedColumnFormula>IFERROR(Indicador15[[#This Row],[No. Actividades ejecutadas (AESust)]]/Indicador15[[#This Row],[No. Actividades programadas (APSust)]],"")</calculatedColumnFormula>
    </tableColumn>
    <tableColumn id="6" xr3:uid="{9951400E-29AA-437B-A5FD-44B265D91608}" name="Meta" dataDxfId="68" totalsRowDxfId="67" dataCellStyle="Porcentaje">
      <calculatedColumnFormula>IF(Indicador15[[#This Row],[Cumplimiento]]="","",'Objetivos y metas'!$C$12)</calculatedColumnFormula>
    </tableColumn>
    <tableColumn id="5" xr3:uid="{A4365055-26CE-41E1-B723-3441BB7F6895}" name="Observaciones" dataDxfId="66" totalsRowDxfId="65">
      <calculatedColumnFormula>IF(Indicador15[[#This Row],[Cumplimiento]]="","",IF(Indicador15[[#This Row],[Cumplimiento]]&gt;=Indicador15[[#This Row],[Meta]],"Cumple","No Cumple"))</calculatedColumnFormula>
    </tableColumn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E63CBF20-02FF-4FFE-8091-24F57D49DB13}" name="Indicador16" displayName="Indicador16" ref="E113:J125" totalsRowShown="0" headerRowDxfId="64" dataDxfId="62" totalsRowDxfId="60" headerRowBorderDxfId="63" tableBorderDxfId="61" totalsRowBorderDxfId="59">
  <autoFilter ref="E113:J125" xr:uid="{E63CBF20-02FF-4FFE-8091-24F57D49DB1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72AC20F5-2C37-4915-9887-747870A964B7}" name="Mensual" dataDxfId="58" totalsRowDxfId="57"/>
    <tableColumn id="2" xr3:uid="{E886BD6B-8019-4774-9069-F678F4D1D45E}" name="No. Actividades ejecutadas (AEAct)" dataDxfId="56" totalsRowDxfId="55"/>
    <tableColumn id="3" xr3:uid="{1274FD55-BCC2-4E67-9C37-FD7DC240623A}" name="No. Actividades programadas (APAct)" dataDxfId="54" totalsRowDxfId="53"/>
    <tableColumn id="4" xr3:uid="{7D1D0E5E-3E71-4965-A978-E332BCD1F6D2}" name="Cumplimiento" dataDxfId="52" totalsRowDxfId="51" dataCellStyle="Porcentaje">
      <calculatedColumnFormula>IFERROR(Indicador16[[#This Row],[No. Actividades ejecutadas (AEAct)]]/Indicador16[[#This Row],[No. Actividades programadas (APAct)]],"")</calculatedColumnFormula>
    </tableColumn>
    <tableColumn id="6" xr3:uid="{2447CB6F-EFC6-4273-847D-F8FB4F9D1D4F}" name="Meta" dataDxfId="50" totalsRowDxfId="49" dataCellStyle="Porcentaje">
      <calculatedColumnFormula>IF(Indicador16[[#This Row],[Cumplimiento]]="","",'Objetivos y metas'!$C$13)</calculatedColumnFormula>
    </tableColumn>
    <tableColumn id="5" xr3:uid="{EA95BC86-BC19-4AFB-B513-7F3C211B6C7F}" name="Observaciones" dataDxfId="48" totalsRowDxfId="47">
      <calculatedColumnFormula>IF(Indicador16[[#This Row],[Cumplimiento]]="","",IF(Indicador16[[#This Row],[Cumplimiento]]&gt;=Indicador16[[#This Row],[Meta]],"Cumple","No Cumple"))</calculatedColumnFormula>
    </tableColumn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E792E17-F056-474C-88D3-FF672F5A3909}" name="Indicador162" displayName="Indicador162" ref="E127:J139" totalsRowShown="0" headerRowDxfId="46" dataDxfId="44" totalsRowDxfId="42" headerRowBorderDxfId="45" tableBorderDxfId="43" totalsRowBorderDxfId="41">
  <autoFilter ref="E127:J139" xr:uid="{BE792E17-F056-474C-88D3-FF672F5A390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16436BDC-16B1-4C9E-A43C-DB742D1881E5}" name="Mensual" dataDxfId="40" totalsRowDxfId="39"/>
    <tableColumn id="2" xr3:uid="{18AB11F3-EA9E-435C-99CC-DB59AA51C873}" name="No. Actividades ejecutadas (AEAct)" dataDxfId="38" totalsRowDxfId="37"/>
    <tableColumn id="3" xr3:uid="{0B0D1113-A8D3-4A6E-BD23-7C6204F87086}" name="No. Actividades programadas (APAct)" dataDxfId="36" totalsRowDxfId="35"/>
    <tableColumn id="4" xr3:uid="{8988F275-8107-47AA-AA75-8C2A2A99B3E7}" name="Cumplimiento" dataDxfId="34" totalsRowDxfId="33" dataCellStyle="Porcentaje">
      <calculatedColumnFormula>IFERROR(Indicador162[[#This Row],[No. Actividades ejecutadas (AEAct)]]/Indicador162[[#This Row],[No. Actividades programadas (APAct)]],"")</calculatedColumnFormula>
    </tableColumn>
    <tableColumn id="6" xr3:uid="{FAD60DC0-146E-4ED6-AF1A-D28870771C32}" name="Meta" dataDxfId="32" totalsRowDxfId="31" dataCellStyle="Porcentaje">
      <calculatedColumnFormula>IF(Indicador162[[#This Row],[Cumplimiento]]="","",'Objetivos y metas'!$C$14)</calculatedColumnFormula>
    </tableColumn>
    <tableColumn id="5" xr3:uid="{AEFFAFC8-3B59-4B99-83F8-E20797FA570C}" name="Observaciones" dataDxfId="30" totalsRowDxfId="29">
      <calculatedColumnFormula>IF(Indicador162[[#This Row],[Cumplimiento]]="","",IF(Indicador162[[#This Row],[Cumplimiento]]&gt;=Indicador162[[#This Row],[Meta]],"Cumple","No Cumple"))</calculatedColumnFormula>
    </tableColumn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BEEA422C-7897-45BA-9774-F2123DB454BB}" name="Metaindicadores" displayName="Metaindicadores" ref="B1:D15" totalsRowShown="0" headerRowDxfId="28" headerRowBorderDxfId="27" tableBorderDxfId="26" totalsRowBorderDxfId="25" headerRowCellStyle="Porcentaje">
  <autoFilter ref="B1:D15" xr:uid="{BEEA422C-7897-45BA-9774-F2123DB454BB}"/>
  <tableColumns count="3">
    <tableColumn id="1" xr3:uid="{66C2EB91-442D-4E4C-B74A-B63077060BAD}" name="Descripción" dataDxfId="24"/>
    <tableColumn id="2" xr3:uid="{BBB9994E-87E5-439D-ABFB-6E3DFBF1C1FB}" name="Medida/Meta" dataDxfId="23" dataCellStyle="Porcentaje"/>
    <tableColumn id="3" xr3:uid="{A3C4F308-0717-4602-8559-7A474E199028}" name="Observaciones" dataDxfId="2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28" dT="2023-09-27T14:17:12.12" personId="{3FAB253D-011C-4D1F-9D5D-3DC9E370B7B9}" id="{742C0E71-46BB-4847-850F-FA7DD7B88344}">
    <text>NO SE ENTIENDE PORQUE NO CUMPLIMOS EN NINGUNA</text>
  </threadedComment>
  <threadedComment ref="E102" dT="2023-09-27T14:19:08.03" personId="{3FAB253D-011C-4D1F-9D5D-3DC9E370B7B9}" id="{8FC4DA51-2217-4D74-955B-3DC41F84BC69}">
    <text>IGUAL SE MODIFICAN TODAS LAS CASILLAS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2" dT="2023-08-29T20:12:39.31" personId="{7EEC7837-9179-4F4E-8691-75EEB9A80D66}" id="{4004E543-729B-4A5C-9001-EB41909DB0DB}">
    <text xml:space="preserve">Calcular el km a partir de septiembre </text>
  </threadedComment>
  <threadedComment ref="A4" dT="2023-08-29T20:49:14.46" personId="{7EEC7837-9179-4F4E-8691-75EEB9A80D66}" id="{172B8EEC-484C-4169-978C-090AEF24A671}">
    <text>Matriz de riesgos</text>
  </threadedComment>
  <threadedComment ref="A5" dT="2023-08-29T20:49:27.16" personId="{7EEC7837-9179-4F4E-8691-75EEB9A80D66}" id="{8D73D687-2D5C-4619-B551-A7C33F67AC78}">
    <text>automático</text>
  </threadedComment>
  <threadedComment ref="A6" dT="2023-08-29T20:50:29.35" personId="{7EEC7837-9179-4F4E-8691-75EEB9A80D66}" id="{50B67BA8-C2C9-4892-85C5-94F62493BB05}">
    <text>Plan anual de trabajo por tirmestre</text>
  </threadedComment>
  <threadedComment ref="A7" dT="2023-08-16T21:55:19.19" personId="{7EEC7837-9179-4F4E-8691-75EEB9A80D66}" id="{CD04D175-91A2-417C-B7A5-C3A17772CC34}">
    <text>Se mide en días con apoyo GPS sin exceder 8 horas conducción</text>
  </threadedComment>
  <threadedComment ref="A8" dT="2023-08-16T21:24:41.42" personId="{7EEC7837-9179-4F4E-8691-75EEB9A80D66}" id="{5D1D2B2D-603A-439E-9841-A291F350520D}">
    <text xml:space="preserve">Buses minas, empre transport personal, arenas, renting, </text>
  </threadedComment>
  <threadedComment ref="A9" dT="2023-08-16T21:39:06.72" personId="{7EEC7837-9179-4F4E-8691-75EEB9A80D66}" id="{D540139E-AFFF-4059-9658-41434B295F51}">
    <text>Semanal en transporte de proveedores</text>
  </threadedComment>
  <threadedComment ref="A12" dT="2023-08-29T19:58:27.21" personId="{7EEC7837-9179-4F4E-8691-75EEB9A80D66}" id="{5113B253-C463-454F-A1D0-268DE54B47ED}">
    <text>Promedio trimestral</text>
  </threadedComment>
  <threadedComment ref="A14" dT="2023-08-29T19:58:17.25" personId="{7EEC7837-9179-4F4E-8691-75EEB9A80D66}" id="{79415CA1-7B68-4FD5-9563-BCD6ED5B080F}">
    <text>También incluye plan acción accidentes</text>
  </threadedComment>
</ThreadedComment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13" Type="http://schemas.openxmlformats.org/officeDocument/2006/relationships/table" Target="../tables/table10.xml"/><Relationship Id="rId1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21" Type="http://schemas.microsoft.com/office/2017/10/relationships/threadedComment" Target="../threadedComments/threadedComment1.xml"/><Relationship Id="rId7" Type="http://schemas.openxmlformats.org/officeDocument/2006/relationships/table" Target="../tables/table4.xml"/><Relationship Id="rId12" Type="http://schemas.openxmlformats.org/officeDocument/2006/relationships/table" Target="../tables/table9.xml"/><Relationship Id="rId17" Type="http://schemas.openxmlformats.org/officeDocument/2006/relationships/table" Target="../tables/table14.xml"/><Relationship Id="rId2" Type="http://schemas.openxmlformats.org/officeDocument/2006/relationships/drawing" Target="../drawings/drawing1.xml"/><Relationship Id="rId16" Type="http://schemas.openxmlformats.org/officeDocument/2006/relationships/table" Target="../tables/table13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3.xml"/><Relationship Id="rId11" Type="http://schemas.openxmlformats.org/officeDocument/2006/relationships/table" Target="../tables/table8.xml"/><Relationship Id="rId5" Type="http://schemas.openxmlformats.org/officeDocument/2006/relationships/table" Target="../tables/table2.xml"/><Relationship Id="rId15" Type="http://schemas.openxmlformats.org/officeDocument/2006/relationships/table" Target="../tables/table12.xml"/><Relationship Id="rId10" Type="http://schemas.openxmlformats.org/officeDocument/2006/relationships/table" Target="../tables/table7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Relationship Id="rId14" Type="http://schemas.openxmlformats.org/officeDocument/2006/relationships/table" Target="../tables/table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Relationship Id="rId4" Type="http://schemas.microsoft.com/office/2017/10/relationships/threadedComment" Target="../threadedComments/threadedComment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E7F19-7DB2-4E9B-9E90-65AEFF9E2D11}">
  <sheetPr codeName="Hoja1"/>
  <dimension ref="A1:O139"/>
  <sheetViews>
    <sheetView showGridLines="0" tabSelected="1" topLeftCell="C1" zoomScale="70" zoomScaleNormal="70" workbookViewId="0">
      <selection activeCell="F18" sqref="F18"/>
    </sheetView>
  </sheetViews>
  <sheetFormatPr baseColWidth="10" defaultColWidth="10.85546875" defaultRowHeight="12" x14ac:dyDescent="0.2"/>
  <cols>
    <col min="1" max="1" width="9" style="21" hidden="1" customWidth="1"/>
    <col min="2" max="2" width="7" style="21" hidden="1" customWidth="1"/>
    <col min="3" max="3" width="4.42578125" style="2" customWidth="1"/>
    <col min="4" max="4" width="34.5703125" style="2" customWidth="1"/>
    <col min="5" max="5" width="11" style="2" customWidth="1"/>
    <col min="6" max="6" width="45.42578125" style="3" customWidth="1"/>
    <col min="7" max="7" width="35.140625" style="3" customWidth="1"/>
    <col min="8" max="9" width="23.140625" style="3" bestFit="1" customWidth="1"/>
    <col min="10" max="10" width="25.5703125" style="3" customWidth="1"/>
    <col min="11" max="11" width="21.5703125" style="2" customWidth="1"/>
    <col min="12" max="12" width="20.42578125" style="2" customWidth="1"/>
    <col min="13" max="13" width="21.5703125" style="2" customWidth="1"/>
    <col min="14" max="14" width="16.5703125" style="2" customWidth="1"/>
    <col min="15" max="15" width="17.5703125" style="2" customWidth="1"/>
    <col min="16" max="16384" width="10.85546875" style="2"/>
  </cols>
  <sheetData>
    <row r="1" spans="1:15" ht="12.75" thickBot="1" x14ac:dyDescent="0.25"/>
    <row r="2" spans="1:15" ht="24" customHeight="1" x14ac:dyDescent="0.2">
      <c r="D2" s="71"/>
      <c r="E2" s="82" t="s">
        <v>105</v>
      </c>
      <c r="F2" s="82"/>
      <c r="G2" s="82"/>
      <c r="H2" s="82"/>
      <c r="I2" s="82"/>
      <c r="J2" s="82"/>
      <c r="K2" s="82"/>
      <c r="L2" s="82"/>
      <c r="M2" s="82"/>
      <c r="N2" s="72"/>
      <c r="O2" s="73"/>
    </row>
    <row r="3" spans="1:15" ht="53.25" customHeight="1" x14ac:dyDescent="0.2">
      <c r="D3" s="74"/>
      <c r="E3" s="79" t="s">
        <v>109</v>
      </c>
      <c r="F3" s="79"/>
      <c r="G3" s="79"/>
      <c r="H3" s="79"/>
      <c r="I3" s="79"/>
      <c r="J3" s="79"/>
      <c r="K3" s="79"/>
      <c r="L3" s="79"/>
      <c r="M3" s="79"/>
      <c r="N3" s="66"/>
      <c r="O3" s="75"/>
    </row>
    <row r="4" spans="1:15" ht="24" customHeight="1" thickBot="1" x14ac:dyDescent="0.25">
      <c r="D4" s="76"/>
      <c r="E4" s="80" t="s">
        <v>106</v>
      </c>
      <c r="F4" s="80"/>
      <c r="G4" s="80"/>
      <c r="H4" s="81" t="s">
        <v>107</v>
      </c>
      <c r="I4" s="81"/>
      <c r="J4" s="81"/>
      <c r="K4" s="80" t="s">
        <v>108</v>
      </c>
      <c r="L4" s="80"/>
      <c r="M4" s="80"/>
      <c r="N4" s="77"/>
      <c r="O4" s="78"/>
    </row>
    <row r="5" spans="1:15" ht="15.75" x14ac:dyDescent="0.25">
      <c r="F5" s="27"/>
      <c r="N5" s="61"/>
    </row>
    <row r="6" spans="1:15" ht="1.5" customHeight="1" x14ac:dyDescent="0.2"/>
    <row r="7" spans="1:15" hidden="1" x14ac:dyDescent="0.2"/>
    <row r="8" spans="1:15" hidden="1" x14ac:dyDescent="0.2"/>
    <row r="9" spans="1:15" hidden="1" x14ac:dyDescent="0.2"/>
    <row r="10" spans="1:15" hidden="1" x14ac:dyDescent="0.2"/>
    <row r="11" spans="1:15" ht="8.25" customHeight="1" x14ac:dyDescent="0.2"/>
    <row r="12" spans="1:15" x14ac:dyDescent="0.2">
      <c r="F12" s="68" t="s">
        <v>0</v>
      </c>
      <c r="G12" s="68"/>
      <c r="H12" s="68"/>
    </row>
    <row r="13" spans="1:15" ht="24" x14ac:dyDescent="0.2">
      <c r="A13" s="21" t="s">
        <v>1</v>
      </c>
      <c r="E13" s="4" t="s">
        <v>2</v>
      </c>
      <c r="F13" s="5" t="s">
        <v>3</v>
      </c>
      <c r="G13" s="5" t="s">
        <v>4</v>
      </c>
      <c r="H13" s="5" t="s">
        <v>5</v>
      </c>
      <c r="I13" s="5" t="s">
        <v>6</v>
      </c>
      <c r="J13" s="5" t="s">
        <v>7</v>
      </c>
      <c r="K13" s="5" t="s">
        <v>8</v>
      </c>
      <c r="L13" s="6" t="s">
        <v>9</v>
      </c>
      <c r="M13" s="6" t="s">
        <v>10</v>
      </c>
      <c r="N13" s="7" t="s">
        <v>11</v>
      </c>
    </row>
    <row r="14" spans="1:15" x14ac:dyDescent="0.2">
      <c r="A14" s="21">
        <f>COUNTIF(Indicador1[[#This Row],[Observaciones]],"Cumple")</f>
        <v>0</v>
      </c>
      <c r="D14" s="69" t="s">
        <v>12</v>
      </c>
      <c r="E14" s="8" t="s">
        <v>13</v>
      </c>
      <c r="F14" s="28"/>
      <c r="G14" s="28"/>
      <c r="H14" s="28"/>
      <c r="I14" s="28"/>
      <c r="J14" s="37"/>
      <c r="K14" s="39"/>
      <c r="L14" s="37" t="str">
        <f>IFERROR(Indicador1[[#This Row],[No. Siniestros Totales (SV)]]*1000000/Indicador1[[#This Row],[Km Trimestre (Km)]],"")</f>
        <v/>
      </c>
      <c r="M14" s="33" t="str">
        <f>IF(Indicador1[[#This Row],[Siniestros en kilometros]]="","",'Objetivos y metas'!$C$2)</f>
        <v/>
      </c>
      <c r="N14" s="23" t="str">
        <f>IF(Indicador1[[#This Row],[No. Siniestros Totales (SV)]]="","",IF(Indicador1[[#This Row],[Meta]]="","",IF(Indicador1[[#This Row],[No. Siniestros Totales (SV)]]&lt;=Indicador1[[#This Row],[Meta]],"Cumple","No Cumple")))</f>
        <v/>
      </c>
    </row>
    <row r="15" spans="1:15" x14ac:dyDescent="0.2">
      <c r="A15" s="21">
        <f>COUNTIF(Indicador1[[#This Row],[Observaciones]],"Cumple")</f>
        <v>0</v>
      </c>
      <c r="D15" s="69"/>
      <c r="E15" s="8" t="s">
        <v>14</v>
      </c>
      <c r="F15" s="28"/>
      <c r="G15" s="28"/>
      <c r="H15" s="28"/>
      <c r="I15" s="28"/>
      <c r="J15" s="37">
        <f>SUM(Indicador1[[#This Row],[Fatales (Muertes)]:[Choques Simples]])</f>
        <v>0</v>
      </c>
      <c r="K15" s="39"/>
      <c r="L15" s="37" t="str">
        <f>IFERROR(Indicador1[[#This Row],[No. Siniestros Totales (SV)]]*1000000/Indicador1[[#This Row],[Km Trimestre (Km)]],"")</f>
        <v/>
      </c>
      <c r="M15" s="33" t="str">
        <f>IF(Indicador1[[#This Row],[Siniestros en kilometros]]="","",'Objetivos y metas'!$C$2)</f>
        <v/>
      </c>
      <c r="N15" s="23" t="str">
        <f>IF(Indicador1[[#This Row],[No. Siniestros Totales (SV)]]="","",IF(Indicador1[[#This Row],[Meta]]="","",IF(Indicador1[[#This Row],[No. Siniestros Totales (SV)]]&lt;=Indicador1[[#This Row],[Meta]],"Cumple","No Cumple")))</f>
        <v/>
      </c>
    </row>
    <row r="16" spans="1:15" x14ac:dyDescent="0.2">
      <c r="A16" s="21">
        <f>COUNTIF(Indicador1[[#This Row],[Observaciones]],"Cumple")</f>
        <v>0</v>
      </c>
      <c r="D16" s="69"/>
      <c r="E16" s="8" t="s">
        <v>15</v>
      </c>
      <c r="F16" s="28"/>
      <c r="G16" s="28"/>
      <c r="H16" s="28"/>
      <c r="I16" s="28"/>
      <c r="J16" s="37">
        <f>SUM(Indicador1[[#This Row],[Fatales (Muertes)]:[Choques Simples]])</f>
        <v>0</v>
      </c>
      <c r="K16" s="39"/>
      <c r="L16" s="37" t="str">
        <f>IFERROR(Indicador1[[#This Row],[No. Siniestros Totales (SV)]]*1000000/Indicador1[[#This Row],[Km Trimestre (Km)]],"")</f>
        <v/>
      </c>
      <c r="M16" s="33" t="str">
        <f>IF(Indicador1[[#This Row],[Siniestros en kilometros]]="","",'Objetivos y metas'!$C$2)</f>
        <v/>
      </c>
      <c r="N16" s="23" t="str">
        <f>IF(Indicador1[[#This Row],[No. Siniestros Totales (SV)]]="","",IF(Indicador1[[#This Row],[Meta]]="","",IF(Indicador1[[#This Row],[No. Siniestros Totales (SV)]]&lt;=Indicador1[[#This Row],[Meta]],"Cumple","No Cumple")))</f>
        <v/>
      </c>
    </row>
    <row r="17" spans="1:15" x14ac:dyDescent="0.2">
      <c r="A17" s="21">
        <f>COUNTIF(Indicador1[[#This Row],[Observaciones]],"Cumple")</f>
        <v>0</v>
      </c>
      <c r="D17" s="69"/>
      <c r="E17" s="9" t="s">
        <v>16</v>
      </c>
      <c r="F17" s="34"/>
      <c r="G17" s="34"/>
      <c r="H17" s="34"/>
      <c r="I17" s="34"/>
      <c r="J17" s="38">
        <f>SUM(Indicador1[[#This Row],[Fatales (Muertes)]:[Choques Simples]])</f>
        <v>0</v>
      </c>
      <c r="K17" s="62"/>
      <c r="L17" s="38" t="str">
        <f>IFERROR(Indicador1[[#This Row],[No. Siniestros Totales (SV)]]*1000000/Indicador1[[#This Row],[Km Trimestre (Km)]],"")</f>
        <v/>
      </c>
      <c r="M17" s="33" t="str">
        <f>IF(Indicador1[[#This Row],[Siniestros en kilometros]]="","",'Objetivos y metas'!$C$2)</f>
        <v/>
      </c>
      <c r="N17" s="23" t="str">
        <f>IF(Indicador1[[#This Row],[No. Siniestros Totales (SV)]]="","",IF(Indicador1[[#This Row],[Meta]]="","",IF(Indicador1[[#This Row],[No. Siniestros Totales (SV)]]&lt;=Indicador1[[#This Row],[Meta]],"Cumple","No Cumple")))</f>
        <v/>
      </c>
    </row>
    <row r="20" spans="1:15" ht="46.5" customHeight="1" x14ac:dyDescent="0.2">
      <c r="A20" s="21" t="s">
        <v>17</v>
      </c>
      <c r="D20" s="67" t="s">
        <v>18</v>
      </c>
      <c r="E20" s="4" t="s">
        <v>19</v>
      </c>
      <c r="F20" s="5" t="s">
        <v>20</v>
      </c>
      <c r="G20" s="5" t="s">
        <v>21</v>
      </c>
      <c r="H20" s="5" t="s">
        <v>22</v>
      </c>
      <c r="I20" s="5" t="s">
        <v>23</v>
      </c>
      <c r="J20" s="5" t="s">
        <v>24</v>
      </c>
      <c r="K20" s="5" t="s">
        <v>25</v>
      </c>
      <c r="L20" s="10" t="s">
        <v>26</v>
      </c>
      <c r="M20" s="10" t="s">
        <v>27</v>
      </c>
      <c r="N20" s="10" t="s">
        <v>28</v>
      </c>
      <c r="O20" s="5" t="s">
        <v>11</v>
      </c>
    </row>
    <row r="21" spans="1:15" x14ac:dyDescent="0.2">
      <c r="A21" s="21">
        <f>COUNTIF(Indicador3[[#This Row],[Observaciones]],"Cumple")</f>
        <v>0</v>
      </c>
      <c r="D21" s="67"/>
      <c r="E21" s="11" t="s">
        <v>19</v>
      </c>
      <c r="F21" s="65"/>
      <c r="G21" s="65"/>
      <c r="H21" s="41"/>
      <c r="I21" s="40"/>
      <c r="J21" s="40"/>
      <c r="K21" s="41"/>
      <c r="L21" s="42" t="str">
        <f>IFERROR((Indicador3[[#This Row],[Cantidad de riesgos identificados final de año (RI(fa)]]-Indicador3[[#This Row],[Cantidad de riesgos identificados inicio de año (RI(ia)]])/Indicador3[[#This Row],[Cantidad de riesgos identificados inicio de año (RI(ia)]],"")</f>
        <v/>
      </c>
      <c r="M21" s="42"/>
      <c r="N21" s="42" t="str">
        <f>IFERROR((Indicador3[[#This Row],[Cantidad de riesgos con valoración alta final de año (RVA(fa)]]-Indicador3[[#This Row],[Cantidad de riesgos con valoración alta inicio de año (RVA(ia)]])/Indicador3[[#This Row],[Cantidad de riesgos con valoración alta inicio de año (RVA(ia)]]+100%,"")</f>
        <v/>
      </c>
      <c r="O21" s="24" t="str">
        <f>IF(Indicador3[[#This Row],[% Gestión riesgos valoración alta]]="","",IF(Indicador3[[#This Row],[Meta estimada de riesgos con valoración alta]]="","",IF(Indicador3[[#This Row],[% Gestión riesgos valoración alta]]&gt;=Indicador3[[#This Row],[Meta estimada de riesgos con valoración alta]],"Cumple","No Cumple")))</f>
        <v/>
      </c>
    </row>
    <row r="22" spans="1:15" ht="15.75" x14ac:dyDescent="0.2">
      <c r="D22" s="12"/>
      <c r="E22" s="13"/>
      <c r="F22" s="14"/>
      <c r="G22" s="14"/>
      <c r="H22" s="15"/>
      <c r="I22" s="14"/>
      <c r="J22" s="14"/>
      <c r="K22" s="15"/>
      <c r="L22" s="49"/>
      <c r="M22" s="14"/>
      <c r="N22" s="50" t="str">
        <f>IFERROR(100%-N21,"")</f>
        <v/>
      </c>
      <c r="O22" s="25" t="str">
        <f>IF(Indicador3[[#This Row],[% Gestión riesgos valoración alta]]="","",IF(Indicador3[[#This Row],[Meta estimada de riesgos con valoración alta]]="","",IF(Indicador3[[#This Row],[% Gestión riesgos valoración alta]]&gt;=Indicador3[[#This Row],[Meta estimada de riesgos con valoración alta]],"Cumple","No Cumple")))</f>
        <v/>
      </c>
    </row>
    <row r="24" spans="1:15" ht="20.25" customHeight="1" x14ac:dyDescent="0.2">
      <c r="A24" s="21" t="s">
        <v>29</v>
      </c>
      <c r="D24" s="69" t="s">
        <v>30</v>
      </c>
      <c r="E24" s="4" t="s">
        <v>2</v>
      </c>
      <c r="F24" s="5" t="s">
        <v>31</v>
      </c>
      <c r="G24" s="5" t="s">
        <v>32</v>
      </c>
      <c r="H24" s="5" t="s">
        <v>33</v>
      </c>
      <c r="I24" s="5" t="s">
        <v>10</v>
      </c>
      <c r="J24" s="5" t="s">
        <v>11</v>
      </c>
    </row>
    <row r="25" spans="1:15" x14ac:dyDescent="0.2">
      <c r="A25" s="21">
        <f>COUNTIF(Indicador4[[#This Row],[Observaciones]],"Cumple")</f>
        <v>0</v>
      </c>
      <c r="D25" s="69"/>
      <c r="E25" s="8" t="s">
        <v>13</v>
      </c>
      <c r="F25" s="26"/>
      <c r="G25" s="35"/>
      <c r="H25" s="29"/>
      <c r="I25" s="29"/>
      <c r="J25" s="26"/>
    </row>
    <row r="26" spans="1:15" x14ac:dyDescent="0.2">
      <c r="A26" s="21">
        <f>COUNTIF(Indicador4[[#This Row],[Observaciones]],"Cumple")</f>
        <v>0</v>
      </c>
      <c r="D26" s="69"/>
      <c r="E26" s="8" t="s">
        <v>14</v>
      </c>
      <c r="F26" s="26"/>
      <c r="G26" s="35"/>
      <c r="H26" s="29" t="str">
        <f>IFERROR(Indicador4[[#This Row],[No. Metas alcanzadas (MA)]]/Indicador4[[#This Row],[No. Metas definidas ™]],"")</f>
        <v/>
      </c>
      <c r="I26" s="29" t="str">
        <f>IF(Indicador4[[#This Row],[Cumplimiento]]="","",'Objetivos y metas'!$C$4)</f>
        <v/>
      </c>
      <c r="J26" s="26"/>
    </row>
    <row r="27" spans="1:15" x14ac:dyDescent="0.2">
      <c r="A27" s="21">
        <f>COUNTIF(Indicador4[[#This Row],[Observaciones]],"Cumple")</f>
        <v>0</v>
      </c>
      <c r="D27" s="69"/>
      <c r="E27" s="8" t="s">
        <v>15</v>
      </c>
      <c r="F27" s="26"/>
      <c r="G27" s="35"/>
      <c r="H27" s="29" t="str">
        <f>IFERROR(Indicador4[[#This Row],[No. Metas alcanzadas (MA)]]/Indicador4[[#This Row],[No. Metas definidas ™]],"")</f>
        <v/>
      </c>
      <c r="I27" s="29" t="str">
        <f>IF(Indicador4[[#This Row],[Cumplimiento]]="","",'Objetivos y metas'!$C$4)</f>
        <v/>
      </c>
      <c r="J27" s="26"/>
    </row>
    <row r="28" spans="1:15" x14ac:dyDescent="0.2">
      <c r="A28" s="21">
        <f>COUNTIF(Indicador4[[#This Row],[Observaciones]],"Cumple")</f>
        <v>0</v>
      </c>
      <c r="D28" s="69"/>
      <c r="E28" s="9" t="s">
        <v>16</v>
      </c>
      <c r="F28" s="26"/>
      <c r="G28" s="36"/>
      <c r="H28" s="29" t="str">
        <f>IFERROR(Indicador4[[#This Row],[No. Metas alcanzadas (MA)]]/Indicador4[[#This Row],[No. Metas definidas ™]],"")</f>
        <v/>
      </c>
      <c r="I28" s="29" t="str">
        <f>IF(Indicador4[[#This Row],[Cumplimiento]]="","",'Objetivos y metas'!$C$4)</f>
        <v/>
      </c>
      <c r="J28" s="26"/>
    </row>
    <row r="30" spans="1:15" ht="30" customHeight="1" x14ac:dyDescent="0.2">
      <c r="A30" s="21" t="s">
        <v>34</v>
      </c>
      <c r="D30" s="69" t="s">
        <v>35</v>
      </c>
      <c r="E30" s="4" t="s">
        <v>2</v>
      </c>
      <c r="F30" s="5" t="s">
        <v>36</v>
      </c>
      <c r="G30" s="5" t="s">
        <v>37</v>
      </c>
      <c r="H30" s="5" t="s">
        <v>33</v>
      </c>
      <c r="I30" s="5" t="s">
        <v>10</v>
      </c>
      <c r="J30" s="16" t="s">
        <v>11</v>
      </c>
    </row>
    <row r="31" spans="1:15" x14ac:dyDescent="0.2">
      <c r="A31" s="21">
        <f>COUNTIF(Indicador5[[#This Row],[Observaciones]],"Cumple")</f>
        <v>0</v>
      </c>
      <c r="D31" s="69"/>
      <c r="E31" s="8" t="s">
        <v>13</v>
      </c>
      <c r="F31" s="28"/>
      <c r="G31" s="28"/>
      <c r="H31" s="29" t="str">
        <f>IF(Indicador5[[#This Row],[No. Actividades ejecutadas (AEPlan)]]="","",IF(Indicador5[[#This Row],[No. Actividades programadas (APPlan)]]="","",Indicador5[[#This Row],[No. Actividades ejecutadas (AEPlan)]]/Indicador5[[#This Row],[No. Actividades programadas (APPlan)]]))</f>
        <v/>
      </c>
      <c r="I31" s="29" t="str">
        <f>IF(Indicador5[[#This Row],[Cumplimiento]]="","",'Objetivos y metas'!$C$5)</f>
        <v/>
      </c>
      <c r="J31" s="26" t="str">
        <f>IF(Indicador5[[#This Row],[Cumplimiento]]="","",IF(Indicador5[[#This Row],[Cumplimiento]]&gt;=Indicador5[[#This Row],[Meta]],"Cumple","No Cumple"))</f>
        <v/>
      </c>
    </row>
    <row r="32" spans="1:15" x14ac:dyDescent="0.2">
      <c r="A32" s="21">
        <f>COUNTIF(Indicador5[[#This Row],[Observaciones]],"Cumple")</f>
        <v>0</v>
      </c>
      <c r="D32" s="69"/>
      <c r="E32" s="8" t="s">
        <v>14</v>
      </c>
      <c r="F32" s="28"/>
      <c r="G32" s="28"/>
      <c r="H32" s="29" t="str">
        <f>IF(Indicador5[[#This Row],[No. Actividades ejecutadas (AEPlan)]]="","",IF(Indicador5[[#This Row],[No. Actividades programadas (APPlan)]]="","",Indicador5[[#This Row],[No. Actividades ejecutadas (AEPlan)]]/Indicador5[[#This Row],[No. Actividades programadas (APPlan)]]))</f>
        <v/>
      </c>
      <c r="I32" s="29" t="str">
        <f>IF(Indicador5[[#This Row],[Cumplimiento]]="","",'Objetivos y metas'!$C$5)</f>
        <v/>
      </c>
      <c r="J32" s="26" t="str">
        <f>IF(Indicador5[[#This Row],[Cumplimiento]]="","",IF(Indicador5[[#This Row],[Cumplimiento]]&gt;=Indicador5[[#This Row],[Meta]],"Cumple","No Cumple"))</f>
        <v/>
      </c>
    </row>
    <row r="33" spans="1:10" x14ac:dyDescent="0.2">
      <c r="A33" s="21">
        <f>COUNTIF(Indicador5[[#This Row],[Observaciones]],"Cumple")</f>
        <v>0</v>
      </c>
      <c r="D33" s="69"/>
      <c r="E33" s="8" t="s">
        <v>15</v>
      </c>
      <c r="F33" s="28"/>
      <c r="G33" s="28"/>
      <c r="H33" s="29" t="str">
        <f>IF(Indicador5[[#This Row],[No. Actividades ejecutadas (AEPlan)]]="","",IF(Indicador5[[#This Row],[No. Actividades programadas (APPlan)]]="","",Indicador5[[#This Row],[No. Actividades ejecutadas (AEPlan)]]/Indicador5[[#This Row],[No. Actividades programadas (APPlan)]]))</f>
        <v/>
      </c>
      <c r="I33" s="29" t="str">
        <f>IF(Indicador5[[#This Row],[Cumplimiento]]="","",'Objetivos y metas'!$C$5)</f>
        <v/>
      </c>
      <c r="J33" s="26" t="str">
        <f>IF(Indicador5[[#This Row],[Cumplimiento]]="","",IF(Indicador5[[#This Row],[Cumplimiento]]&gt;=Indicador5[[#This Row],[Meta]],"Cumple","No Cumple"))</f>
        <v/>
      </c>
    </row>
    <row r="34" spans="1:10" x14ac:dyDescent="0.2">
      <c r="A34" s="21">
        <f>COUNTIF(Indicador5[[#This Row],[Observaciones]],"Cumple")</f>
        <v>0</v>
      </c>
      <c r="D34" s="69"/>
      <c r="E34" s="9" t="s">
        <v>16</v>
      </c>
      <c r="F34" s="63"/>
      <c r="G34" s="63"/>
      <c r="H34" s="30" t="str">
        <f>IF(Indicador5[[#This Row],[No. Actividades ejecutadas (AEPlan)]]="","",IF(Indicador5[[#This Row],[No. Actividades programadas (APPlan)]]="","",Indicador5[[#This Row],[No. Actividades ejecutadas (AEPlan)]]/Indicador5[[#This Row],[No. Actividades programadas (APPlan)]]))</f>
        <v/>
      </c>
      <c r="I34" s="30" t="str">
        <f>IF(Indicador5[[#This Row],[Cumplimiento]]="","",'Objetivos y metas'!$C$5)</f>
        <v/>
      </c>
      <c r="J34" s="26" t="str">
        <f>IF(Indicador5[[#This Row],[Cumplimiento]]="","",IF(Indicador5[[#This Row],[Cumplimiento]]&gt;=Indicador5[[#This Row],[Meta]],"Cumple","No Cumple"))</f>
        <v/>
      </c>
    </row>
    <row r="35" spans="1:10" x14ac:dyDescent="0.2">
      <c r="H35" s="17"/>
      <c r="I35" s="18"/>
    </row>
    <row r="36" spans="1:10" ht="24" x14ac:dyDescent="0.2">
      <c r="A36" s="21" t="s">
        <v>38</v>
      </c>
      <c r="D36" s="69" t="s">
        <v>39</v>
      </c>
      <c r="E36" s="4" t="s">
        <v>40</v>
      </c>
      <c r="F36" s="5" t="s">
        <v>41</v>
      </c>
      <c r="G36" s="5" t="s">
        <v>42</v>
      </c>
      <c r="H36" s="5" t="s">
        <v>88</v>
      </c>
      <c r="I36" s="16" t="s">
        <v>10</v>
      </c>
      <c r="J36" s="16" t="s">
        <v>11</v>
      </c>
    </row>
    <row r="37" spans="1:10" x14ac:dyDescent="0.2">
      <c r="A37" s="21">
        <f>COUNTIF(Indicador6[[#This Row],[Observaciones]],"Cumple")</f>
        <v>0</v>
      </c>
      <c r="B37" s="22">
        <f>ROUND(AVERAGE(A37:A39),0)</f>
        <v>0</v>
      </c>
      <c r="C37" s="19"/>
      <c r="D37" s="69"/>
      <c r="E37" s="8" t="s">
        <v>43</v>
      </c>
      <c r="F37" s="28"/>
      <c r="G37" s="28"/>
      <c r="H37" s="29"/>
      <c r="I37" s="29"/>
      <c r="J37" s="26"/>
    </row>
    <row r="38" spans="1:10" x14ac:dyDescent="0.2">
      <c r="A38" s="21">
        <f>COUNTIF(Indicador6[[#This Row],[Observaciones]],"Cumple")</f>
        <v>0</v>
      </c>
      <c r="B38" s="22"/>
      <c r="C38" s="19"/>
      <c r="D38" s="69"/>
      <c r="E38" s="8" t="s">
        <v>44</v>
      </c>
      <c r="F38" s="28"/>
      <c r="G38" s="28"/>
      <c r="H38" s="29"/>
      <c r="I38" s="29"/>
      <c r="J38" s="26"/>
    </row>
    <row r="39" spans="1:10" x14ac:dyDescent="0.2">
      <c r="A39" s="21">
        <f>COUNTIF(Indicador6[[#This Row],[Observaciones]],"Cumple")</f>
        <v>0</v>
      </c>
      <c r="B39" s="22"/>
      <c r="C39" s="19"/>
      <c r="D39" s="69"/>
      <c r="E39" s="8" t="s">
        <v>45</v>
      </c>
      <c r="F39" s="28"/>
      <c r="G39" s="28"/>
      <c r="H39" s="29"/>
      <c r="I39" s="29"/>
      <c r="J39" s="26"/>
    </row>
    <row r="40" spans="1:10" x14ac:dyDescent="0.2">
      <c r="A40" s="21">
        <f>COUNTIF(Indicador6[[#This Row],[Observaciones]],"Cumple")</f>
        <v>0</v>
      </c>
      <c r="B40" s="22">
        <f>ROUND(AVERAGE(A40:A42),0)</f>
        <v>0</v>
      </c>
      <c r="C40" s="19"/>
      <c r="D40" s="69"/>
      <c r="E40" s="8" t="s">
        <v>46</v>
      </c>
      <c r="F40" s="34"/>
      <c r="G40" s="28"/>
      <c r="H40" s="30" t="str">
        <f>IF(Indicador6[[#This Row],[No. De excesos en la jornada ('#EJD)]]="","",IF(Indicador6[[#This Row],[Total dias trabajados x todos los conductores ('#SDT)]]="","",Indicador6[[#This Row],[No. De excesos en la jornada ('#EJD)]]/Indicador6[[#This Row],[Total dias trabajados x todos los conductores ('#SDT)]]))</f>
        <v/>
      </c>
      <c r="I40" s="30" t="str">
        <f>IF(Indicador6[[#This Row],[% de Excesos de Jornadas Laborales]]="","",'Objetivos y metas'!$C$6)</f>
        <v/>
      </c>
      <c r="J40" s="26" t="str">
        <f>IF(Indicador6[[#This Row],[% de Excesos de Jornadas Laborales]]="","",IF(Indicador6[[#This Row],[% de Excesos de Jornadas Laborales]]&gt;=Indicador6[[#This Row],[Meta]],"No Cumple","Cumple"))</f>
        <v/>
      </c>
    </row>
    <row r="41" spans="1:10" x14ac:dyDescent="0.2">
      <c r="A41" s="21">
        <f>COUNTIF(Indicador6[[#This Row],[Observaciones]],"Cumple")</f>
        <v>0</v>
      </c>
      <c r="B41" s="22"/>
      <c r="C41" s="19"/>
      <c r="D41" s="69"/>
      <c r="E41" s="8" t="s">
        <v>47</v>
      </c>
      <c r="F41" s="28"/>
      <c r="G41" s="28"/>
      <c r="H41" s="29" t="str">
        <f>IF(Indicador6[[#This Row],[No. De excesos en la jornada ('#EJD)]]="","",IF(Indicador6[[#This Row],[Total dias trabajados x todos los conductores ('#SDT)]]="","",Indicador6[[#This Row],[No. De excesos en la jornada ('#EJD)]]/Indicador6[[#This Row],[Total dias trabajados x todos los conductores ('#SDT)]]))</f>
        <v/>
      </c>
      <c r="I41" s="29" t="str">
        <f>IF(Indicador6[[#This Row],[% de Excesos de Jornadas Laborales]]="","",'Objetivos y metas'!$C$6)</f>
        <v/>
      </c>
      <c r="J41" s="26" t="str">
        <f>IF(Indicador6[[#This Row],[% de Excesos de Jornadas Laborales]]="","",IF(Indicador6[[#This Row],[% de Excesos de Jornadas Laborales]]&gt;=Indicador6[[#This Row],[Meta]],"No Cumple","Cumple"))</f>
        <v/>
      </c>
    </row>
    <row r="42" spans="1:10" x14ac:dyDescent="0.2">
      <c r="A42" s="21">
        <f>COUNTIF(Indicador6[[#This Row],[Observaciones]],"Cumple")</f>
        <v>0</v>
      </c>
      <c r="B42" s="22"/>
      <c r="C42" s="19"/>
      <c r="D42" s="69"/>
      <c r="E42" s="8" t="s">
        <v>48</v>
      </c>
      <c r="F42" s="28"/>
      <c r="G42" s="28"/>
      <c r="H42" s="29" t="str">
        <f>IF(Indicador6[[#This Row],[No. De excesos en la jornada ('#EJD)]]="","",IF(Indicador6[[#This Row],[Total dias trabajados x todos los conductores ('#SDT)]]="","",Indicador6[[#This Row],[No. De excesos en la jornada ('#EJD)]]/Indicador6[[#This Row],[Total dias trabajados x todos los conductores ('#SDT)]]))</f>
        <v/>
      </c>
      <c r="I42" s="29" t="str">
        <f>IF(Indicador6[[#This Row],[% de Excesos de Jornadas Laborales]]="","",'Objetivos y metas'!$C$6)</f>
        <v/>
      </c>
      <c r="J42" s="26" t="str">
        <f>IF(Indicador6[[#This Row],[% de Excesos de Jornadas Laborales]]="","",IF(Indicador6[[#This Row],[% de Excesos de Jornadas Laborales]]&gt;=Indicador6[[#This Row],[Meta]],"No Cumple","Cumple"))</f>
        <v/>
      </c>
    </row>
    <row r="43" spans="1:10" x14ac:dyDescent="0.2">
      <c r="A43" s="21">
        <f>COUNTIF(Indicador6[[#This Row],[Observaciones]],"Cumple")</f>
        <v>0</v>
      </c>
      <c r="B43" s="22">
        <f>ROUND(AVERAGE(A43:A45),0)</f>
        <v>0</v>
      </c>
      <c r="C43" s="19"/>
      <c r="D43" s="69"/>
      <c r="E43" s="8" t="s">
        <v>49</v>
      </c>
      <c r="F43" s="28"/>
      <c r="G43" s="28"/>
      <c r="H43" s="29" t="str">
        <f>IF(Indicador6[[#This Row],[No. De excesos en la jornada ('#EJD)]]="","",IF(Indicador6[[#This Row],[Total dias trabajados x todos los conductores ('#SDT)]]="","",Indicador6[[#This Row],[No. De excesos en la jornada ('#EJD)]]/Indicador6[[#This Row],[Total dias trabajados x todos los conductores ('#SDT)]]))</f>
        <v/>
      </c>
      <c r="I43" s="29" t="str">
        <f>IF(Indicador6[[#This Row],[% de Excesos de Jornadas Laborales]]="","",'Objetivos y metas'!$C$6)</f>
        <v/>
      </c>
      <c r="J43" s="26" t="str">
        <f>IF(Indicador6[[#This Row],[% de Excesos de Jornadas Laborales]]="","",IF(Indicador6[[#This Row],[% de Excesos de Jornadas Laborales]]&gt;=Indicador6[[#This Row],[Meta]],"No Cumple","Cumple"))</f>
        <v/>
      </c>
    </row>
    <row r="44" spans="1:10" x14ac:dyDescent="0.2">
      <c r="A44" s="21">
        <f>COUNTIF(Indicador6[[#This Row],[Observaciones]],"Cumple")</f>
        <v>0</v>
      </c>
      <c r="B44" s="22"/>
      <c r="C44" s="19"/>
      <c r="D44" s="69"/>
      <c r="E44" s="8" t="s">
        <v>50</v>
      </c>
      <c r="F44" s="28"/>
      <c r="G44" s="28"/>
      <c r="H44" s="29" t="str">
        <f>IF(Indicador6[[#This Row],[No. De excesos en la jornada ('#EJD)]]="","",IF(Indicador6[[#This Row],[Total dias trabajados x todos los conductores ('#SDT)]]="","",Indicador6[[#This Row],[No. De excesos en la jornada ('#EJD)]]/Indicador6[[#This Row],[Total dias trabajados x todos los conductores ('#SDT)]]))</f>
        <v/>
      </c>
      <c r="I44" s="29" t="str">
        <f>IF(Indicador6[[#This Row],[% de Excesos de Jornadas Laborales]]="","",'Objetivos y metas'!$C$6)</f>
        <v/>
      </c>
      <c r="J44" s="26" t="str">
        <f>IF(Indicador6[[#This Row],[% de Excesos de Jornadas Laborales]]="","",IF(Indicador6[[#This Row],[% de Excesos de Jornadas Laborales]]&gt;=Indicador6[[#This Row],[Meta]],"No Cumple","Cumple"))</f>
        <v/>
      </c>
    </row>
    <row r="45" spans="1:10" x14ac:dyDescent="0.2">
      <c r="A45" s="21">
        <f>COUNTIF(Indicador6[[#This Row],[Observaciones]],"Cumple")</f>
        <v>0</v>
      </c>
      <c r="B45" s="22"/>
      <c r="C45" s="19"/>
      <c r="D45" s="69"/>
      <c r="E45" s="8" t="s">
        <v>51</v>
      </c>
      <c r="F45" s="28"/>
      <c r="G45" s="28"/>
      <c r="H45" s="29" t="str">
        <f>IF(Indicador6[[#This Row],[No. De excesos en la jornada ('#EJD)]]="","",IF(Indicador6[[#This Row],[Total dias trabajados x todos los conductores ('#SDT)]]="","",Indicador6[[#This Row],[No. De excesos en la jornada ('#EJD)]]/Indicador6[[#This Row],[Total dias trabajados x todos los conductores ('#SDT)]]))</f>
        <v/>
      </c>
      <c r="I45" s="29" t="str">
        <f>IF(Indicador6[[#This Row],[% de Excesos de Jornadas Laborales]]="","",'Objetivos y metas'!$C$6)</f>
        <v/>
      </c>
      <c r="J45" s="26" t="str">
        <f>IF(Indicador6[[#This Row],[% de Excesos de Jornadas Laborales]]="","",IF(Indicador6[[#This Row],[% de Excesos de Jornadas Laborales]]&gt;=Indicador6[[#This Row],[Meta]],"No Cumple","Cumple"))</f>
        <v/>
      </c>
    </row>
    <row r="46" spans="1:10" x14ac:dyDescent="0.2">
      <c r="A46" s="21">
        <f>COUNTIF(Indicador6[[#This Row],[Observaciones]],"Cumple")</f>
        <v>0</v>
      </c>
      <c r="B46" s="22">
        <f>ROUND(AVERAGE(A46:A48),0)</f>
        <v>0</v>
      </c>
      <c r="C46" s="19"/>
      <c r="D46" s="69"/>
      <c r="E46" s="8" t="s">
        <v>52</v>
      </c>
      <c r="F46" s="28"/>
      <c r="G46" s="28"/>
      <c r="H46" s="29" t="str">
        <f>IF(Indicador6[[#This Row],[No. De excesos en la jornada ('#EJD)]]="","",IF(Indicador6[[#This Row],[Total dias trabajados x todos los conductores ('#SDT)]]="","",Indicador6[[#This Row],[No. De excesos en la jornada ('#EJD)]]/Indicador6[[#This Row],[Total dias trabajados x todos los conductores ('#SDT)]]))</f>
        <v/>
      </c>
      <c r="I46" s="29" t="str">
        <f>IF(Indicador6[[#This Row],[% de Excesos de Jornadas Laborales]]="","",'Objetivos y metas'!$C$6)</f>
        <v/>
      </c>
      <c r="J46" s="26" t="str">
        <f>IF(Indicador6[[#This Row],[% de Excesos de Jornadas Laborales]]="","",IF(Indicador6[[#This Row],[% de Excesos de Jornadas Laborales]]&gt;=Indicador6[[#This Row],[Meta]],"No Cumple","Cumple"))</f>
        <v/>
      </c>
    </row>
    <row r="47" spans="1:10" x14ac:dyDescent="0.2">
      <c r="A47" s="21">
        <f>COUNTIF(Indicador6[[#This Row],[Observaciones]],"Cumple")</f>
        <v>0</v>
      </c>
      <c r="B47" s="22"/>
      <c r="C47" s="19"/>
      <c r="D47" s="69"/>
      <c r="E47" s="8" t="s">
        <v>53</v>
      </c>
      <c r="F47" s="28"/>
      <c r="G47" s="28"/>
      <c r="H47" s="29" t="str">
        <f>IF(Indicador6[[#This Row],[No. De excesos en la jornada ('#EJD)]]="","",IF(Indicador6[[#This Row],[Total dias trabajados x todos los conductores ('#SDT)]]="","",Indicador6[[#This Row],[No. De excesos en la jornada ('#EJD)]]/Indicador6[[#This Row],[Total dias trabajados x todos los conductores ('#SDT)]]))</f>
        <v/>
      </c>
      <c r="I47" s="29" t="str">
        <f>IF(Indicador6[[#This Row],[% de Excesos de Jornadas Laborales]]="","",'Objetivos y metas'!$C$6)</f>
        <v/>
      </c>
      <c r="J47" s="26" t="str">
        <f>IF(Indicador6[[#This Row],[% de Excesos de Jornadas Laborales]]="","",IF(Indicador6[[#This Row],[% de Excesos de Jornadas Laborales]]&gt;=Indicador6[[#This Row],[Meta]],"No Cumple","Cumple"))</f>
        <v/>
      </c>
    </row>
    <row r="48" spans="1:10" x14ac:dyDescent="0.2">
      <c r="A48" s="21">
        <f>COUNTIF(Indicador6[[#This Row],[Observaciones]],"Cumple")</f>
        <v>0</v>
      </c>
      <c r="B48" s="22"/>
      <c r="C48" s="19"/>
      <c r="D48" s="69"/>
      <c r="E48" s="8" t="s">
        <v>54</v>
      </c>
      <c r="F48" s="64"/>
      <c r="G48" s="64"/>
      <c r="H48" s="29" t="str">
        <f>IF(Indicador6[[#This Row],[No. De excesos en la jornada ('#EJD)]]="","",IF(Indicador6[[#This Row],[Total dias trabajados x todos los conductores ('#SDT)]]="","",Indicador6[[#This Row],[No. De excesos en la jornada ('#EJD)]]/Indicador6[[#This Row],[Total dias trabajados x todos los conductores ('#SDT)]]))</f>
        <v/>
      </c>
      <c r="I48" s="29" t="str">
        <f>IF(Indicador6[[#This Row],[% de Excesos de Jornadas Laborales]]="","",'Objetivos y metas'!$C$6)</f>
        <v/>
      </c>
      <c r="J48" s="26" t="str">
        <f>IF(Indicador6[[#This Row],[% de Excesos de Jornadas Laborales]]="","",IF(Indicador6[[#This Row],[% de Excesos de Jornadas Laborales]]&gt;=Indicador6[[#This Row],[Meta]],"No Cumple","Cumple"))</f>
        <v/>
      </c>
    </row>
    <row r="50" spans="1:10" ht="24" x14ac:dyDescent="0.2">
      <c r="A50" s="21" t="s">
        <v>55</v>
      </c>
      <c r="D50" s="69" t="s">
        <v>56</v>
      </c>
      <c r="E50" s="4" t="s">
        <v>40</v>
      </c>
      <c r="F50" s="5" t="s">
        <v>57</v>
      </c>
      <c r="G50" s="5" t="s">
        <v>58</v>
      </c>
      <c r="H50" s="5" t="s">
        <v>33</v>
      </c>
      <c r="I50" s="16" t="s">
        <v>10</v>
      </c>
      <c r="J50" s="16" t="s">
        <v>11</v>
      </c>
    </row>
    <row r="51" spans="1:10" x14ac:dyDescent="0.2">
      <c r="A51" s="21">
        <f>COUNTIF(Indicador9[[#This Row],[Observaciones]],"Cumple")</f>
        <v>0</v>
      </c>
      <c r="B51" s="22">
        <f>ROUND(AVERAGE(A51:A53),0)</f>
        <v>0</v>
      </c>
      <c r="D51" s="69"/>
      <c r="E51" s="8" t="s">
        <v>43</v>
      </c>
      <c r="F51" s="28"/>
      <c r="G51" s="28"/>
      <c r="H51" s="29"/>
      <c r="I51" s="29"/>
      <c r="J51" s="26"/>
    </row>
    <row r="52" spans="1:10" x14ac:dyDescent="0.2">
      <c r="A52" s="21">
        <f>COUNTIF(Indicador9[[#This Row],[Observaciones]],"Cumple")</f>
        <v>0</v>
      </c>
      <c r="B52" s="22"/>
      <c r="D52" s="69"/>
      <c r="E52" s="8" t="s">
        <v>44</v>
      </c>
      <c r="F52" s="28"/>
      <c r="G52" s="28"/>
      <c r="H52" s="29"/>
      <c r="I52" s="29"/>
      <c r="J52" s="26"/>
    </row>
    <row r="53" spans="1:10" x14ac:dyDescent="0.2">
      <c r="A53" s="21">
        <f>COUNTIF(Indicador9[[#This Row],[Observaciones]],"Cumple")</f>
        <v>0</v>
      </c>
      <c r="B53" s="22"/>
      <c r="D53" s="69"/>
      <c r="E53" s="8" t="s">
        <v>45</v>
      </c>
      <c r="F53" s="28"/>
      <c r="G53" s="28"/>
      <c r="H53" s="29"/>
      <c r="I53" s="29"/>
      <c r="J53" s="26"/>
    </row>
    <row r="54" spans="1:10" x14ac:dyDescent="0.2">
      <c r="A54" s="21">
        <f>COUNTIF(Indicador9[[#This Row],[Observaciones]],"Cumple")</f>
        <v>0</v>
      </c>
      <c r="B54" s="22">
        <f>ROUND(AVERAGE(A54:A56),0)</f>
        <v>0</v>
      </c>
      <c r="D54" s="69"/>
      <c r="E54" s="8" t="s">
        <v>46</v>
      </c>
      <c r="F54" s="28"/>
      <c r="G54" s="28"/>
      <c r="H54" s="30" t="str">
        <f>IF(Indicador9[[#This Row],[No. Vehículos inspeccionados diariamente ('#VID)]]="","",IF(Indicador9[[#This Row],[No. Total de vehículos que trabajan diariamente ('#TV)]]="","",Indicador9[[#This Row],[No. Vehículos inspeccionados diariamente ('#VID)]]/Indicador9[[#This Row],[No. Vehículos inspeccionados diariamente ('#VID)]]))</f>
        <v/>
      </c>
      <c r="I54" s="30" t="str">
        <f>IF(Indicador9[[#This Row],[Cumplimiento]]="","",'Objetivos y metas'!$C$7)</f>
        <v/>
      </c>
      <c r="J54" s="26" t="str">
        <f>IF(Indicador9[[#This Row],[Cumplimiento]]="","",IF(Indicador9[[#This Row],[Cumplimiento]]&gt;=Indicador9[[#This Row],[Meta]],"Cumple","No Cumple"))</f>
        <v/>
      </c>
    </row>
    <row r="55" spans="1:10" x14ac:dyDescent="0.2">
      <c r="A55" s="21">
        <f>COUNTIF(Indicador9[[#This Row],[Observaciones]],"Cumple")</f>
        <v>0</v>
      </c>
      <c r="B55" s="22"/>
      <c r="D55" s="69"/>
      <c r="E55" s="8" t="s">
        <v>47</v>
      </c>
      <c r="F55" s="28"/>
      <c r="G55" s="28"/>
      <c r="H55" s="29" t="str">
        <f>IF(Indicador9[[#This Row],[No. Vehículos inspeccionados diariamente ('#VID)]]="","",IF(Indicador9[[#This Row],[No. Total de vehículos que trabajan diariamente ('#TV)]]="","",Indicador9[[#This Row],[No. Vehículos inspeccionados diariamente ('#VID)]]/Indicador9[[#This Row],[No. Vehículos inspeccionados diariamente ('#VID)]]))</f>
        <v/>
      </c>
      <c r="I55" s="29" t="str">
        <f>IF(Indicador9[[#This Row],[Cumplimiento]]="","",'Objetivos y metas'!$C$7)</f>
        <v/>
      </c>
      <c r="J55" s="26" t="str">
        <f>IF(Indicador9[[#This Row],[Cumplimiento]]="","",IF(Indicador9[[#This Row],[Cumplimiento]]&gt;=Indicador9[[#This Row],[Meta]],"Cumple","No Cumple"))</f>
        <v/>
      </c>
    </row>
    <row r="56" spans="1:10" x14ac:dyDescent="0.2">
      <c r="A56" s="21">
        <f>COUNTIF(Indicador9[[#This Row],[Observaciones]],"Cumple")</f>
        <v>0</v>
      </c>
      <c r="B56" s="22"/>
      <c r="D56" s="69"/>
      <c r="E56" s="8" t="s">
        <v>48</v>
      </c>
      <c r="F56" s="28"/>
      <c r="G56" s="28"/>
      <c r="H56" s="29" t="str">
        <f>IF(Indicador9[[#This Row],[No. Vehículos inspeccionados diariamente ('#VID)]]="","",IF(Indicador9[[#This Row],[No. Total de vehículos que trabajan diariamente ('#TV)]]="","",Indicador9[[#This Row],[No. Vehículos inspeccionados diariamente ('#VID)]]/Indicador9[[#This Row],[No. Vehículos inspeccionados diariamente ('#VID)]]))</f>
        <v/>
      </c>
      <c r="I56" s="29" t="str">
        <f>IF(Indicador9[[#This Row],[Cumplimiento]]="","",'Objetivos y metas'!$C$7)</f>
        <v/>
      </c>
      <c r="J56" s="26" t="str">
        <f>IF(Indicador9[[#This Row],[Cumplimiento]]="","",IF(Indicador9[[#This Row],[Cumplimiento]]&gt;=Indicador9[[#This Row],[Meta]],"Cumple","No Cumple"))</f>
        <v/>
      </c>
    </row>
    <row r="57" spans="1:10" x14ac:dyDescent="0.2">
      <c r="A57" s="21">
        <f>COUNTIF(Indicador9[[#This Row],[Observaciones]],"Cumple")</f>
        <v>0</v>
      </c>
      <c r="B57" s="22">
        <f>ROUND(AVERAGE(A57:A59),0)</f>
        <v>0</v>
      </c>
      <c r="D57" s="69"/>
      <c r="E57" s="8" t="s">
        <v>49</v>
      </c>
      <c r="F57" s="28"/>
      <c r="G57" s="28"/>
      <c r="H57" s="29" t="str">
        <f>IF(Indicador9[[#This Row],[No. Vehículos inspeccionados diariamente ('#VID)]]="","",IF(Indicador9[[#This Row],[No. Total de vehículos que trabajan diariamente ('#TV)]]="","",Indicador9[[#This Row],[No. Vehículos inspeccionados diariamente ('#VID)]]/Indicador9[[#This Row],[No. Vehículos inspeccionados diariamente ('#VID)]]))</f>
        <v/>
      </c>
      <c r="I57" s="29" t="str">
        <f>IF(Indicador9[[#This Row],[Cumplimiento]]="","",'Objetivos y metas'!$C$7)</f>
        <v/>
      </c>
      <c r="J57" s="26" t="str">
        <f>IF(Indicador9[[#This Row],[Cumplimiento]]="","",IF(Indicador9[[#This Row],[Cumplimiento]]&gt;=Indicador9[[#This Row],[Meta]],"Cumple","No Cumple"))</f>
        <v/>
      </c>
    </row>
    <row r="58" spans="1:10" x14ac:dyDescent="0.2">
      <c r="A58" s="21">
        <f>COUNTIF(Indicador9[[#This Row],[Observaciones]],"Cumple")</f>
        <v>0</v>
      </c>
      <c r="B58" s="22"/>
      <c r="D58" s="69"/>
      <c r="E58" s="8" t="s">
        <v>50</v>
      </c>
      <c r="F58" s="28"/>
      <c r="G58" s="28"/>
      <c r="H58" s="29" t="str">
        <f>IF(Indicador9[[#This Row],[No. Vehículos inspeccionados diariamente ('#VID)]]="","",IF(Indicador9[[#This Row],[No. Total de vehículos que trabajan diariamente ('#TV)]]="","",Indicador9[[#This Row],[No. Vehículos inspeccionados diariamente ('#VID)]]/Indicador9[[#This Row],[No. Vehículos inspeccionados diariamente ('#VID)]]))</f>
        <v/>
      </c>
      <c r="I58" s="29" t="str">
        <f>IF(Indicador9[[#This Row],[Cumplimiento]]="","",'Objetivos y metas'!$C$7)</f>
        <v/>
      </c>
      <c r="J58" s="26" t="str">
        <f>IF(Indicador9[[#This Row],[Cumplimiento]]="","",IF(Indicador9[[#This Row],[Cumplimiento]]&gt;=Indicador9[[#This Row],[Meta]],"Cumple","No Cumple"))</f>
        <v/>
      </c>
    </row>
    <row r="59" spans="1:10" x14ac:dyDescent="0.2">
      <c r="A59" s="21">
        <f>COUNTIF(Indicador9[[#This Row],[Observaciones]],"Cumple")</f>
        <v>0</v>
      </c>
      <c r="B59" s="22"/>
      <c r="D59" s="69"/>
      <c r="E59" s="8" t="s">
        <v>51</v>
      </c>
      <c r="F59" s="28"/>
      <c r="G59" s="28"/>
      <c r="H59" s="29" t="str">
        <f>IF(Indicador9[[#This Row],[No. Vehículos inspeccionados diariamente ('#VID)]]="","",IF(Indicador9[[#This Row],[No. Total de vehículos que trabajan diariamente ('#TV)]]="","",Indicador9[[#This Row],[No. Vehículos inspeccionados diariamente ('#VID)]]/Indicador9[[#This Row],[No. Vehículos inspeccionados diariamente ('#VID)]]))</f>
        <v/>
      </c>
      <c r="I59" s="29" t="str">
        <f>IF(Indicador9[[#This Row],[Cumplimiento]]="","",'Objetivos y metas'!$C$7)</f>
        <v/>
      </c>
      <c r="J59" s="26" t="str">
        <f>IF(Indicador9[[#This Row],[Cumplimiento]]="","",IF(Indicador9[[#This Row],[Cumplimiento]]&gt;=Indicador9[[#This Row],[Meta]],"Cumple","No Cumple"))</f>
        <v/>
      </c>
    </row>
    <row r="60" spans="1:10" x14ac:dyDescent="0.2">
      <c r="A60" s="21">
        <f>COUNTIF(Indicador9[[#This Row],[Observaciones]],"Cumple")</f>
        <v>0</v>
      </c>
      <c r="B60" s="22">
        <f>ROUND(AVERAGE(A60:A62),0)</f>
        <v>0</v>
      </c>
      <c r="D60" s="69"/>
      <c r="E60" s="8" t="s">
        <v>52</v>
      </c>
      <c r="F60" s="28"/>
      <c r="G60" s="28"/>
      <c r="H60" s="29" t="str">
        <f>IF(Indicador9[[#This Row],[No. Vehículos inspeccionados diariamente ('#VID)]]="","",IF(Indicador9[[#This Row],[No. Total de vehículos que trabajan diariamente ('#TV)]]="","",Indicador9[[#This Row],[No. Vehículos inspeccionados diariamente ('#VID)]]/Indicador9[[#This Row],[No. Vehículos inspeccionados diariamente ('#VID)]]))</f>
        <v/>
      </c>
      <c r="I60" s="29" t="str">
        <f>IF(Indicador9[[#This Row],[Cumplimiento]]="","",'Objetivos y metas'!$C$7)</f>
        <v/>
      </c>
      <c r="J60" s="26" t="str">
        <f>IF(Indicador9[[#This Row],[Cumplimiento]]="","",IF(Indicador9[[#This Row],[Cumplimiento]]&gt;=Indicador9[[#This Row],[Meta]],"Cumple","No Cumple"))</f>
        <v/>
      </c>
    </row>
    <row r="61" spans="1:10" x14ac:dyDescent="0.2">
      <c r="A61" s="21">
        <f>COUNTIF(Indicador9[[#This Row],[Observaciones]],"Cumple")</f>
        <v>0</v>
      </c>
      <c r="B61" s="22"/>
      <c r="D61" s="69"/>
      <c r="E61" s="8" t="s">
        <v>53</v>
      </c>
      <c r="F61" s="28"/>
      <c r="G61" s="28"/>
      <c r="H61" s="29" t="str">
        <f>IF(Indicador9[[#This Row],[No. Vehículos inspeccionados diariamente ('#VID)]]="","",IF(Indicador9[[#This Row],[No. Total de vehículos que trabajan diariamente ('#TV)]]="","",Indicador9[[#This Row],[No. Vehículos inspeccionados diariamente ('#VID)]]/Indicador9[[#This Row],[No. Vehículos inspeccionados diariamente ('#VID)]]))</f>
        <v/>
      </c>
      <c r="I61" s="29" t="str">
        <f>IF(Indicador9[[#This Row],[Cumplimiento]]="","",'Objetivos y metas'!$C$7)</f>
        <v/>
      </c>
      <c r="J61" s="26" t="str">
        <f>IF(Indicador9[[#This Row],[Cumplimiento]]="","",IF(Indicador9[[#This Row],[Cumplimiento]]&gt;=Indicador9[[#This Row],[Meta]],"Cumple","No Cumple"))</f>
        <v/>
      </c>
    </row>
    <row r="62" spans="1:10" x14ac:dyDescent="0.2">
      <c r="A62" s="21">
        <f>COUNTIF(Indicador9[[#This Row],[Observaciones]],"Cumple")</f>
        <v>0</v>
      </c>
      <c r="B62" s="22"/>
      <c r="D62" s="69"/>
      <c r="E62" s="8" t="s">
        <v>54</v>
      </c>
      <c r="F62" s="28"/>
      <c r="G62" s="28"/>
      <c r="H62" s="29" t="str">
        <f>IF(Indicador9[[#This Row],[No. Vehículos inspeccionados diariamente ('#VID)]]="","",IF(Indicador9[[#This Row],[No. Total de vehículos que trabajan diariamente ('#TV)]]="","",Indicador9[[#This Row],[No. Vehículos inspeccionados diariamente ('#VID)]]/Indicador9[[#This Row],[No. Vehículos inspeccionados diariamente ('#VID)]]))</f>
        <v/>
      </c>
      <c r="I62" s="29" t="str">
        <f>IF(Indicador9[[#This Row],[Cumplimiento]]="","",'Objetivos y metas'!$C$7)</f>
        <v/>
      </c>
      <c r="J62" s="26" t="str">
        <f>IF(Indicador9[[#This Row],[Cumplimiento]]="","",IF(Indicador9[[#This Row],[Cumplimiento]]&gt;=Indicador9[[#This Row],[Meta]],"Cumple","No Cumple"))</f>
        <v/>
      </c>
    </row>
    <row r="64" spans="1:10" ht="24" x14ac:dyDescent="0.2">
      <c r="A64" s="21" t="s">
        <v>59</v>
      </c>
      <c r="D64" s="69" t="s">
        <v>89</v>
      </c>
      <c r="E64" s="4" t="s">
        <v>2</v>
      </c>
      <c r="F64" s="5" t="s">
        <v>60</v>
      </c>
      <c r="G64" s="5" t="s">
        <v>61</v>
      </c>
      <c r="H64" s="5" t="s">
        <v>33</v>
      </c>
      <c r="I64" s="16" t="s">
        <v>10</v>
      </c>
      <c r="J64" s="16" t="s">
        <v>11</v>
      </c>
    </row>
    <row r="65" spans="1:10" x14ac:dyDescent="0.2">
      <c r="A65" s="21">
        <f>COUNTIF(Indicador10[[#This Row],[Observaciones]],"Cumple")</f>
        <v>0</v>
      </c>
      <c r="D65" s="69"/>
      <c r="E65" s="8" t="s">
        <v>13</v>
      </c>
      <c r="F65" s="28"/>
      <c r="G65" s="28"/>
      <c r="H65" s="29"/>
      <c r="I65" s="29"/>
      <c r="J65" s="26"/>
    </row>
    <row r="66" spans="1:10" x14ac:dyDescent="0.2">
      <c r="A66" s="21">
        <f>COUNTIF(Indicador10[[#This Row],[Observaciones]],"Cumple")</f>
        <v>0</v>
      </c>
      <c r="D66" s="69"/>
      <c r="E66" s="8" t="s">
        <v>14</v>
      </c>
      <c r="F66" s="28"/>
      <c r="G66" s="28"/>
      <c r="H66" s="29" t="str">
        <f>IF(Indicador10[[#This Row],[No. De Actividades de mantenimiento preventivo ejecutadas x trimestre (MEVh)]]="","",IF(Indicador10[[#This Row],[No. Total de actividades de mantenimentos preventivo programadas (MPVh)]]="","",Indicador10[[#This Row],[No. De Actividades de mantenimiento preventivo ejecutadas x trimestre (MEVh)]]/Indicador10[[#This Row],[No. Total de actividades de mantenimentos preventivo programadas (MPVh)]]))</f>
        <v/>
      </c>
      <c r="I66" s="29" t="str">
        <f>IF(Indicador10[[#This Row],[Cumplimiento]]="","",'Objetivos y metas'!$C$8)</f>
        <v/>
      </c>
      <c r="J66" s="26" t="str">
        <f>IF(Indicador10[[#This Row],[Cumplimiento]]="","",IF(Indicador10[[#This Row],[Cumplimiento]]&gt;=Indicador10[[#This Row],[Meta]],"Cumple","No Cumple"))</f>
        <v/>
      </c>
    </row>
    <row r="67" spans="1:10" x14ac:dyDescent="0.2">
      <c r="A67" s="21">
        <f>COUNTIF(Indicador10[[#This Row],[Observaciones]],"Cumple")</f>
        <v>0</v>
      </c>
      <c r="D67" s="69"/>
      <c r="E67" s="8" t="s">
        <v>15</v>
      </c>
      <c r="F67" s="28"/>
      <c r="G67" s="28"/>
      <c r="H67" s="29" t="str">
        <f>IF(Indicador10[[#This Row],[No. De Actividades de mantenimiento preventivo ejecutadas x trimestre (MEVh)]]="","",IF(Indicador10[[#This Row],[No. Total de actividades de mantenimentos preventivo programadas (MPVh)]]="","",Indicador10[[#This Row],[No. De Actividades de mantenimiento preventivo ejecutadas x trimestre (MEVh)]]/Indicador10[[#This Row],[No. Total de actividades de mantenimentos preventivo programadas (MPVh)]]))</f>
        <v/>
      </c>
      <c r="I67" s="29" t="str">
        <f>IF(Indicador10[[#This Row],[Cumplimiento]]="","",'Objetivos y metas'!$C$8)</f>
        <v/>
      </c>
      <c r="J67" s="26" t="str">
        <f>IF(Indicador10[[#This Row],[Cumplimiento]]="","",IF(Indicador10[[#This Row],[Cumplimiento]]&gt;=Indicador10[[#This Row],[Meta]],"Cumple","No Cumple"))</f>
        <v/>
      </c>
    </row>
    <row r="68" spans="1:10" x14ac:dyDescent="0.2">
      <c r="A68" s="21">
        <f>COUNTIF(Indicador10[[#This Row],[Observaciones]],"Cumple")</f>
        <v>0</v>
      </c>
      <c r="D68" s="69"/>
      <c r="E68" s="9" t="s">
        <v>16</v>
      </c>
      <c r="F68" s="34"/>
      <c r="G68" s="34"/>
      <c r="H68" s="30" t="str">
        <f>IF(Indicador10[[#This Row],[No. De Actividades de mantenimiento preventivo ejecutadas x trimestre (MEVh)]]="","",IF(Indicador10[[#This Row],[No. Total de actividades de mantenimentos preventivo programadas (MPVh)]]="","",Indicador10[[#This Row],[No. De Actividades de mantenimiento preventivo ejecutadas x trimestre (MEVh)]]/Indicador10[[#This Row],[No. Total de actividades de mantenimentos preventivo programadas (MPVh)]]))</f>
        <v/>
      </c>
      <c r="I68" s="30" t="str">
        <f>IF(Indicador10[[#This Row],[Cumplimiento]]="","",'Objetivos y metas'!$C$8)</f>
        <v/>
      </c>
      <c r="J68" s="26" t="str">
        <f>IF(Indicador10[[#This Row],[Cumplimiento]]="","",IF(Indicador10[[#This Row],[Cumplimiento]]&gt;=Indicador10[[#This Row],[Meta]],"Cumple","No Cumple"))</f>
        <v/>
      </c>
    </row>
    <row r="70" spans="1:10" ht="24" x14ac:dyDescent="0.2">
      <c r="A70" s="21" t="s">
        <v>62</v>
      </c>
      <c r="D70" s="69" t="s">
        <v>63</v>
      </c>
      <c r="E70" s="4" t="s">
        <v>2</v>
      </c>
      <c r="F70" s="5" t="s">
        <v>64</v>
      </c>
      <c r="G70" s="5" t="s">
        <v>65</v>
      </c>
      <c r="H70" s="5" t="s">
        <v>33</v>
      </c>
      <c r="I70" s="16" t="s">
        <v>10</v>
      </c>
      <c r="J70" s="16" t="s">
        <v>11</v>
      </c>
    </row>
    <row r="71" spans="1:10" x14ac:dyDescent="0.2">
      <c r="A71" s="21">
        <f>COUNTIF(Indicador11[[#This Row],[Observaciones]],"Cumple")</f>
        <v>0</v>
      </c>
      <c r="D71" s="69"/>
      <c r="E71" s="8" t="s">
        <v>13</v>
      </c>
      <c r="F71" s="28"/>
      <c r="G71" s="28"/>
      <c r="H71" s="29"/>
      <c r="I71" s="29"/>
      <c r="J71" s="26"/>
    </row>
    <row r="72" spans="1:10" x14ac:dyDescent="0.2">
      <c r="A72" s="21">
        <f>COUNTIF(Indicador11[[#This Row],[Observaciones]],"Cumple")</f>
        <v>0</v>
      </c>
      <c r="D72" s="69"/>
      <c r="E72" s="8" t="s">
        <v>14</v>
      </c>
      <c r="F72" s="28"/>
      <c r="G72" s="28"/>
      <c r="H72" s="29" t="str">
        <f>IF(Indicador11[[#This Row],[No. Total de capacitaciones en seguridad vial programadas (CPSV)]]="","",IF(Indicador11[[#This Row],[No. De capacitaciones en seguridad vial ejecutadas (CESV)]]="","",Indicador11[[#This Row],[No. De capacitaciones en seguridad vial ejecutadas (CESV)]]/Indicador11[[#This Row],[No. Total de capacitaciones en seguridad vial programadas (CPSV)]]))</f>
        <v/>
      </c>
      <c r="I72" s="29" t="str">
        <f>IF(Indicador11[[#This Row],[Cumplimiento]]="","",'Objetivos y metas'!$C$9)</f>
        <v/>
      </c>
      <c r="J72" s="26" t="str">
        <f>IF(Indicador11[[#This Row],[Cumplimiento]]="","",IF(Indicador11[[#This Row],[Cumplimiento]]&gt;=Indicador11[[#This Row],[Meta]],"Cumple","No Cumple"))</f>
        <v/>
      </c>
    </row>
    <row r="73" spans="1:10" x14ac:dyDescent="0.2">
      <c r="A73" s="21">
        <f>COUNTIF(Indicador11[[#This Row],[Observaciones]],"Cumple")</f>
        <v>0</v>
      </c>
      <c r="D73" s="69"/>
      <c r="E73" s="8" t="s">
        <v>15</v>
      </c>
      <c r="F73" s="28"/>
      <c r="G73" s="28"/>
      <c r="H73" s="29" t="str">
        <f>IF(Indicador11[[#This Row],[No. Total de capacitaciones en seguridad vial programadas (CPSV)]]="","",IF(Indicador11[[#This Row],[No. De capacitaciones en seguridad vial ejecutadas (CESV)]]="","",Indicador11[[#This Row],[No. De capacitaciones en seguridad vial ejecutadas (CESV)]]/Indicador11[[#This Row],[No. Total de capacitaciones en seguridad vial programadas (CPSV)]]))</f>
        <v/>
      </c>
      <c r="I73" s="29" t="str">
        <f>IF(Indicador11[[#This Row],[Cumplimiento]]="","",'Objetivos y metas'!$C$9)</f>
        <v/>
      </c>
      <c r="J73" s="26" t="str">
        <f>IF(Indicador11[[#This Row],[Cumplimiento]]="","",IF(Indicador11[[#This Row],[Cumplimiento]]&gt;=Indicador11[[#This Row],[Meta]],"Cumple","No Cumple"))</f>
        <v/>
      </c>
    </row>
    <row r="74" spans="1:10" x14ac:dyDescent="0.2">
      <c r="A74" s="21">
        <f>COUNTIF(Indicador11[[#This Row],[Observaciones]],"Cumple")</f>
        <v>0</v>
      </c>
      <c r="D74" s="69"/>
      <c r="E74" s="9" t="s">
        <v>16</v>
      </c>
      <c r="F74" s="63"/>
      <c r="G74" s="63"/>
      <c r="H74" s="30" t="str">
        <f>IF(Indicador11[[#This Row],[No. Total de capacitaciones en seguridad vial programadas (CPSV)]]="","",IF(Indicador11[[#This Row],[No. De capacitaciones en seguridad vial ejecutadas (CESV)]]="","",Indicador11[[#This Row],[No. De capacitaciones en seguridad vial ejecutadas (CESV)]]/Indicador11[[#This Row],[No. Total de capacitaciones en seguridad vial programadas (CPSV)]]))</f>
        <v/>
      </c>
      <c r="I74" s="30" t="str">
        <f>IF(Indicador11[[#This Row],[Cumplimiento]]="","",'Objetivos y metas'!$C$9)</f>
        <v/>
      </c>
      <c r="J74" s="26" t="str">
        <f>IF(Indicador11[[#This Row],[Cumplimiento]]="","",IF(Indicador11[[#This Row],[Cumplimiento]]&gt;=Indicador11[[#This Row],[Meta]],"Cumple","No Cumple"))</f>
        <v/>
      </c>
    </row>
    <row r="76" spans="1:10" ht="36" customHeight="1" x14ac:dyDescent="0.2">
      <c r="A76" s="21" t="s">
        <v>66</v>
      </c>
      <c r="D76" s="69" t="s">
        <v>67</v>
      </c>
      <c r="E76" s="4" t="s">
        <v>2</v>
      </c>
      <c r="F76" s="5" t="s">
        <v>68</v>
      </c>
      <c r="G76" s="5" t="s">
        <v>69</v>
      </c>
      <c r="H76" s="5" t="s">
        <v>33</v>
      </c>
      <c r="I76" s="16" t="s">
        <v>10</v>
      </c>
      <c r="J76" s="16" t="s">
        <v>11</v>
      </c>
    </row>
    <row r="77" spans="1:10" x14ac:dyDescent="0.2">
      <c r="A77" s="21">
        <f>COUNTIF(Indicador12[[#This Row],[Observaciones]],"Cumple")</f>
        <v>0</v>
      </c>
      <c r="D77" s="69"/>
      <c r="E77" s="8" t="s">
        <v>13</v>
      </c>
      <c r="F77" s="28"/>
      <c r="G77" s="28"/>
      <c r="H77" s="29"/>
      <c r="I77" s="29"/>
      <c r="J77" s="26"/>
    </row>
    <row r="78" spans="1:10" x14ac:dyDescent="0.2">
      <c r="A78" s="21">
        <f>COUNTIF(Indicador12[[#This Row],[Observaciones]],"Cumple")</f>
        <v>0</v>
      </c>
      <c r="D78" s="69"/>
      <c r="E78" s="8" t="s">
        <v>14</v>
      </c>
      <c r="F78" s="28"/>
      <c r="G78" s="28"/>
      <c r="H78" s="29" t="str">
        <f>IFERROR(Indicador12[[#This Row],[No. De colaboradores de la organización capacitados en seguridad vial (CFSV)]]/Indicador12[[#This Row],[No. Total de colaboradores de la organización (CT)]],"")</f>
        <v/>
      </c>
      <c r="I78" s="29" t="str">
        <f>IF(Indicador12[[#This Row],[Cumplimiento]]="","",'Objetivos y metas'!$C$10)</f>
        <v/>
      </c>
      <c r="J78" s="26" t="str">
        <f>IF(Indicador12[[#This Row],[Cumplimiento]]="","",IF(Indicador12[[#This Row],[Cumplimiento]]&gt;=Indicador12[[#This Row],[Meta]],"Cumple","No Cumple"))</f>
        <v/>
      </c>
    </row>
    <row r="79" spans="1:10" x14ac:dyDescent="0.2">
      <c r="A79" s="21">
        <f>COUNTIF(Indicador12[[#This Row],[Observaciones]],"Cumple")</f>
        <v>0</v>
      </c>
      <c r="D79" s="69"/>
      <c r="E79" s="8" t="s">
        <v>15</v>
      </c>
      <c r="F79" s="28"/>
      <c r="G79" s="28"/>
      <c r="H79" s="29" t="str">
        <f>IFERROR(Indicador12[[#This Row],[No. De colaboradores de la organización capacitados en seguridad vial (CFSV)]]/Indicador12[[#This Row],[No. Total de colaboradores de la organización (CT)]],"")</f>
        <v/>
      </c>
      <c r="I79" s="29" t="str">
        <f>IF(Indicador12[[#This Row],[Cumplimiento]]="","",'Objetivos y metas'!$C$10)</f>
        <v/>
      </c>
      <c r="J79" s="26" t="str">
        <f>IF(Indicador12[[#This Row],[Cumplimiento]]="","",IF(Indicador12[[#This Row],[Cumplimiento]]&gt;=Indicador12[[#This Row],[Meta]],"Cumple","No Cumple"))</f>
        <v/>
      </c>
    </row>
    <row r="80" spans="1:10" x14ac:dyDescent="0.2">
      <c r="A80" s="21">
        <f>COUNTIF(Indicador12[[#This Row],[Observaciones]],"Cumple")</f>
        <v>0</v>
      </c>
      <c r="D80" s="69"/>
      <c r="E80" s="9" t="s">
        <v>16</v>
      </c>
      <c r="F80" s="34"/>
      <c r="G80" s="34"/>
      <c r="H80" s="30" t="str">
        <f>IFERROR(Indicador12[[#This Row],[No. De colaboradores de la organización capacitados en seguridad vial (CFSV)]]/Indicador12[[#This Row],[No. Total de colaboradores de la organización (CT)]],"")</f>
        <v/>
      </c>
      <c r="I80" s="30" t="str">
        <f>IF(Indicador12[[#This Row],[Cumplimiento]]="","",'Objetivos y metas'!$C$10)</f>
        <v/>
      </c>
      <c r="J80" s="26" t="str">
        <f>IF(Indicador12[[#This Row],[Cumplimiento]]="","",IF(Indicador12[[#This Row],[Cumplimiento]]&gt;=Indicador12[[#This Row],[Meta]],"Cumple","No Cumple"))</f>
        <v/>
      </c>
    </row>
    <row r="82" spans="1:10" ht="24" x14ac:dyDescent="0.2">
      <c r="A82" s="21" t="s">
        <v>70</v>
      </c>
      <c r="D82" s="67" t="s">
        <v>87</v>
      </c>
      <c r="E82" s="4" t="s">
        <v>19</v>
      </c>
      <c r="F82" s="5" t="s">
        <v>71</v>
      </c>
      <c r="G82" s="5" t="s">
        <v>72</v>
      </c>
      <c r="H82" s="5" t="s">
        <v>33</v>
      </c>
      <c r="I82" s="5" t="s">
        <v>10</v>
      </c>
      <c r="J82" s="5" t="s">
        <v>11</v>
      </c>
    </row>
    <row r="83" spans="1:10" x14ac:dyDescent="0.2">
      <c r="A83" s="21">
        <f>COUNTIF(Indicador13[[#This Row],[Observaciones]],"Cumple")</f>
        <v>0</v>
      </c>
      <c r="D83" s="67"/>
      <c r="E83" s="20" t="s">
        <v>19</v>
      </c>
      <c r="F83" s="65"/>
      <c r="G83" s="65"/>
      <c r="H83" s="30" t="str">
        <f>IF(Indicador13[[#This Row],[No.  De comformidades gestionadas y cerradas ('#NCG)]]="","",Indicador13[[#This Row],[No.  De comformidades gestionadas y cerradas ('#NCG)]]/Indicador13[[#This Row],[No.  De no comformidades identificadas y analizadas ('#NCI)]])</f>
        <v/>
      </c>
      <c r="I83" s="30" t="str">
        <f>IF(Indicador13[[#This Row],[Cumplimiento]]="","",'Objetivos y metas'!#REF!)</f>
        <v/>
      </c>
      <c r="J83" s="26" t="str">
        <f>IF(Indicador13[[#This Row],[Cumplimiento]]="","",IF(Indicador13[[#This Row],[Cumplimiento]]&gt;=Indicador13[[#This Row],[Meta]],"Cumple","No Cumple"))</f>
        <v/>
      </c>
    </row>
    <row r="85" spans="1:10" ht="12" customHeight="1" x14ac:dyDescent="0.2">
      <c r="A85" s="21" t="s">
        <v>73</v>
      </c>
      <c r="D85" s="67" t="s">
        <v>74</v>
      </c>
      <c r="E85" s="4" t="s">
        <v>40</v>
      </c>
      <c r="F85" s="5" t="s">
        <v>75</v>
      </c>
      <c r="G85" s="5" t="s">
        <v>76</v>
      </c>
      <c r="H85" s="5" t="s">
        <v>33</v>
      </c>
      <c r="I85" s="16" t="s">
        <v>10</v>
      </c>
      <c r="J85" s="16" t="s">
        <v>11</v>
      </c>
    </row>
    <row r="86" spans="1:10" ht="15" customHeight="1" x14ac:dyDescent="0.2">
      <c r="A86" s="21">
        <f>COUNTIF(Indicador14[[#This Row],[Observaciones]],"Cumple")</f>
        <v>0</v>
      </c>
      <c r="B86" s="22">
        <f>ROUND(AVERAGE(A86:A88),0)</f>
        <v>0</v>
      </c>
      <c r="D86" s="67"/>
      <c r="E86" s="8" t="s">
        <v>90</v>
      </c>
      <c r="F86" s="28"/>
      <c r="G86" s="28"/>
      <c r="H86" s="29"/>
      <c r="I86" s="29"/>
      <c r="J86" s="26"/>
    </row>
    <row r="87" spans="1:10" ht="15" customHeight="1" x14ac:dyDescent="0.2">
      <c r="A87" s="21">
        <f>COUNTIF(Indicador14[[#This Row],[Observaciones]],"Cumple")</f>
        <v>0</v>
      </c>
      <c r="B87" s="22"/>
      <c r="D87" s="67"/>
      <c r="E87" s="8" t="s">
        <v>91</v>
      </c>
      <c r="F87" s="28"/>
      <c r="G87" s="28"/>
      <c r="H87" s="29"/>
      <c r="I87" s="29"/>
      <c r="J87" s="26"/>
    </row>
    <row r="88" spans="1:10" ht="15" customHeight="1" x14ac:dyDescent="0.2">
      <c r="A88" s="21">
        <f>COUNTIF(Indicador14[[#This Row],[Observaciones]],"Cumple")</f>
        <v>0</v>
      </c>
      <c r="B88" s="22"/>
      <c r="D88" s="67"/>
      <c r="E88" s="8" t="s">
        <v>92</v>
      </c>
      <c r="F88" s="28"/>
      <c r="G88" s="28"/>
      <c r="H88" s="29"/>
      <c r="I88" s="29"/>
      <c r="J88" s="26"/>
    </row>
    <row r="89" spans="1:10" ht="15" customHeight="1" x14ac:dyDescent="0.2">
      <c r="A89" s="21">
        <f>COUNTIF(Indicador14[[#This Row],[Observaciones]],"Cumple")</f>
        <v>0</v>
      </c>
      <c r="B89" s="22">
        <f>ROUND(AVERAGE(A89:A91),0)</f>
        <v>0</v>
      </c>
      <c r="D89" s="67"/>
      <c r="E89" s="9" t="s">
        <v>93</v>
      </c>
      <c r="F89" s="34"/>
      <c r="G89" s="34"/>
      <c r="H89" s="30" t="str">
        <f>IFERROR(Indicador14[[#This Row],[No. Actividades ejecutadas (AEDist)]]/Indicador14[[#This Row],[No. Actividades programadas (APDist)]],"")</f>
        <v/>
      </c>
      <c r="I89" s="30" t="str">
        <f>IF(Indicador14[[#This Row],[Cumplimiento]]="","",'Objetivos y metas'!$C$11)</f>
        <v/>
      </c>
      <c r="J89" s="26" t="str">
        <f>IF(Indicador14[[#This Row],[Cumplimiento]]="","",IF(Indicador14[[#This Row],[Cumplimiento]]&gt;=Indicador14[[#This Row],[Meta]],"Cumple","No Cumple"))</f>
        <v/>
      </c>
    </row>
    <row r="90" spans="1:10" ht="15" customHeight="1" x14ac:dyDescent="0.2">
      <c r="A90" s="21">
        <f>COUNTIF(Indicador14[[#This Row],[Observaciones]],"Cumple")</f>
        <v>0</v>
      </c>
      <c r="B90" s="22"/>
      <c r="D90" s="67"/>
      <c r="E90" s="9" t="s">
        <v>94</v>
      </c>
      <c r="F90" s="34"/>
      <c r="G90" s="34"/>
      <c r="H90" s="30" t="str">
        <f>IFERROR(Indicador14[[#This Row],[No. Actividades ejecutadas (AEDist)]]/Indicador14[[#This Row],[No. Actividades programadas (APDist)]],"")</f>
        <v/>
      </c>
      <c r="I90" s="30" t="str">
        <f>IF(Indicador14[[#This Row],[Cumplimiento]]="","",'Objetivos y metas'!$C$11)</f>
        <v/>
      </c>
      <c r="J90" s="53" t="str">
        <f>IF(Indicador14[[#This Row],[Cumplimiento]]="","",IF(Indicador14[[#This Row],[Cumplimiento]]&gt;=Indicador14[[#This Row],[Meta]],"Cumple","No Cumple"))</f>
        <v/>
      </c>
    </row>
    <row r="91" spans="1:10" ht="15" customHeight="1" x14ac:dyDescent="0.2">
      <c r="A91" s="21">
        <f>COUNTIF(Indicador14[[#This Row],[Observaciones]],"Cumple")</f>
        <v>0</v>
      </c>
      <c r="B91" s="22"/>
      <c r="D91" s="67"/>
      <c r="E91" s="9" t="s">
        <v>95</v>
      </c>
      <c r="F91" s="34"/>
      <c r="G91" s="34"/>
      <c r="H91" s="30" t="str">
        <f>IFERROR(Indicador14[[#This Row],[No. Actividades ejecutadas (AEDist)]]/Indicador14[[#This Row],[No. Actividades programadas (APDist)]],"")</f>
        <v/>
      </c>
      <c r="I91" s="30" t="str">
        <f>IF(Indicador14[[#This Row],[Cumplimiento]]="","",'Objetivos y metas'!$C$11)</f>
        <v/>
      </c>
      <c r="J91" s="53" t="str">
        <f>IF(Indicador14[[#This Row],[Cumplimiento]]="","",IF(Indicador14[[#This Row],[Cumplimiento]]&gt;=Indicador14[[#This Row],[Meta]],"Cumple","No Cumple"))</f>
        <v/>
      </c>
    </row>
    <row r="92" spans="1:10" ht="15" customHeight="1" x14ac:dyDescent="0.2">
      <c r="A92" s="21">
        <f>COUNTIF(Indicador14[[#This Row],[Observaciones]],"Cumple")</f>
        <v>0</v>
      </c>
      <c r="B92" s="22">
        <f>ROUND(AVERAGE(A92:A94),0)</f>
        <v>0</v>
      </c>
      <c r="D92" s="67"/>
      <c r="E92" s="9" t="s">
        <v>96</v>
      </c>
      <c r="F92" s="34"/>
      <c r="G92" s="34"/>
      <c r="H92" s="30" t="str">
        <f>IFERROR(Indicador14[[#This Row],[No. Actividades ejecutadas (AEDist)]]/Indicador14[[#This Row],[No. Actividades programadas (APDist)]],"")</f>
        <v/>
      </c>
      <c r="I92" s="30" t="str">
        <f>IF(Indicador14[[#This Row],[Cumplimiento]]="","",'Objetivos y metas'!$C$11)</f>
        <v/>
      </c>
      <c r="J92" s="53" t="str">
        <f>IF(Indicador14[[#This Row],[Cumplimiento]]="","",IF(Indicador14[[#This Row],[Cumplimiento]]&gt;=Indicador14[[#This Row],[Meta]],"Cumple","No Cumple"))</f>
        <v/>
      </c>
    </row>
    <row r="93" spans="1:10" ht="15" customHeight="1" x14ac:dyDescent="0.2">
      <c r="A93" s="21">
        <f>COUNTIF(Indicador14[[#This Row],[Observaciones]],"Cumple")</f>
        <v>0</v>
      </c>
      <c r="B93" s="22"/>
      <c r="D93" s="67"/>
      <c r="E93" s="9" t="s">
        <v>97</v>
      </c>
      <c r="F93" s="34"/>
      <c r="G93" s="34"/>
      <c r="H93" s="30" t="str">
        <f>IFERROR(Indicador14[[#This Row],[No. Actividades ejecutadas (AEDist)]]/Indicador14[[#This Row],[No. Actividades programadas (APDist)]],"")</f>
        <v/>
      </c>
      <c r="I93" s="30" t="str">
        <f>IF(Indicador14[[#This Row],[Cumplimiento]]="","",'Objetivos y metas'!$C$11)</f>
        <v/>
      </c>
      <c r="J93" s="53" t="str">
        <f>IF(Indicador14[[#This Row],[Cumplimiento]]="","",IF(Indicador14[[#This Row],[Cumplimiento]]&gt;=Indicador14[[#This Row],[Meta]],"Cumple","No Cumple"))</f>
        <v/>
      </c>
    </row>
    <row r="94" spans="1:10" ht="15" customHeight="1" x14ac:dyDescent="0.2">
      <c r="A94" s="21">
        <f>COUNTIF(Indicador14[[#This Row],[Observaciones]],"Cumple")</f>
        <v>0</v>
      </c>
      <c r="B94" s="22"/>
      <c r="D94" s="67"/>
      <c r="E94" s="9" t="s">
        <v>98</v>
      </c>
      <c r="F94" s="34"/>
      <c r="G94" s="34"/>
      <c r="H94" s="30" t="str">
        <f>IFERROR(Indicador14[[#This Row],[No. Actividades ejecutadas (AEDist)]]/Indicador14[[#This Row],[No. Actividades programadas (APDist)]],"")</f>
        <v/>
      </c>
      <c r="I94" s="30" t="str">
        <f>IF(Indicador14[[#This Row],[Cumplimiento]]="","",'Objetivos y metas'!$C$11)</f>
        <v/>
      </c>
      <c r="J94" s="53" t="str">
        <f>IF(Indicador14[[#This Row],[Cumplimiento]]="","",IF(Indicador14[[#This Row],[Cumplimiento]]&gt;=Indicador14[[#This Row],[Meta]],"Cumple","No Cumple"))</f>
        <v/>
      </c>
    </row>
    <row r="95" spans="1:10" ht="15" customHeight="1" x14ac:dyDescent="0.2">
      <c r="A95" s="21">
        <f>COUNTIF(Indicador14[[#This Row],[Observaciones]],"Cumple")</f>
        <v>0</v>
      </c>
      <c r="B95" s="22">
        <f>ROUND(AVERAGE(A95:A97),0)</f>
        <v>0</v>
      </c>
      <c r="D95" s="67"/>
      <c r="E95" s="9" t="s">
        <v>99</v>
      </c>
      <c r="F95" s="28"/>
      <c r="G95" s="28"/>
      <c r="H95" s="29" t="str">
        <f>IFERROR(Indicador14[[#This Row],[No. Actividades ejecutadas (AEDist)]]/Indicador14[[#This Row],[No. Actividades programadas (APDist)]],"")</f>
        <v/>
      </c>
      <c r="I95" s="29" t="str">
        <f>IF(Indicador14[[#This Row],[Cumplimiento]]="","",'Objetivos y metas'!$C$11)</f>
        <v/>
      </c>
      <c r="J95" s="26" t="str">
        <f>IF(Indicador14[[#This Row],[Cumplimiento]]="","",IF(Indicador14[[#This Row],[Cumplimiento]]&gt;=Indicador14[[#This Row],[Meta]],"Cumple","No Cumple"))</f>
        <v/>
      </c>
    </row>
    <row r="96" spans="1:10" ht="15" customHeight="1" x14ac:dyDescent="0.2">
      <c r="A96" s="21">
        <f>COUNTIF(Indicador14[[#This Row],[Observaciones]],"Cumple")</f>
        <v>0</v>
      </c>
      <c r="B96" s="22"/>
      <c r="D96" s="67"/>
      <c r="E96" s="9" t="s">
        <v>100</v>
      </c>
      <c r="F96" s="28"/>
      <c r="G96" s="28"/>
      <c r="H96" s="29" t="str">
        <f>IFERROR(Indicador14[[#This Row],[No. Actividades ejecutadas (AEDist)]]/Indicador14[[#This Row],[No. Actividades programadas (APDist)]],"")</f>
        <v/>
      </c>
      <c r="I96" s="29" t="str">
        <f>IF(Indicador14[[#This Row],[Cumplimiento]]="","",'Objetivos y metas'!$C$11)</f>
        <v/>
      </c>
      <c r="J96" s="26" t="str">
        <f>IF(Indicador14[[#This Row],[Cumplimiento]]="","",IF(Indicador14[[#This Row],[Cumplimiento]]&gt;=Indicador14[[#This Row],[Meta]],"Cumple","No Cumple"))</f>
        <v/>
      </c>
    </row>
    <row r="97" spans="1:10" ht="15" customHeight="1" x14ac:dyDescent="0.2">
      <c r="A97" s="21">
        <f>COUNTIF(Indicador14[[#This Row],[Observaciones]],"Cumple")</f>
        <v>0</v>
      </c>
      <c r="B97" s="22"/>
      <c r="D97" s="67"/>
      <c r="E97" s="9" t="s">
        <v>101</v>
      </c>
      <c r="F97" s="28"/>
      <c r="G97" s="28"/>
      <c r="H97" s="29" t="str">
        <f>IFERROR(Indicador14[[#This Row],[No. Actividades ejecutadas (AEDist)]]/Indicador14[[#This Row],[No. Actividades programadas (APDist)]],"")</f>
        <v/>
      </c>
      <c r="I97" s="29" t="str">
        <f>IF(Indicador14[[#This Row],[Cumplimiento]]="","",'Objetivos y metas'!$C$11)</f>
        <v/>
      </c>
      <c r="J97" s="26" t="str">
        <f>IF(Indicador14[[#This Row],[Cumplimiento]]="","",IF(Indicador14[[#This Row],[Cumplimiento]]&gt;=Indicador14[[#This Row],[Meta]],"Cumple","No Cumple"))</f>
        <v/>
      </c>
    </row>
    <row r="98" spans="1:10" x14ac:dyDescent="0.2">
      <c r="H98" s="51"/>
      <c r="I98" s="51"/>
      <c r="J98" s="52"/>
    </row>
    <row r="99" spans="1:10" ht="12" customHeight="1" x14ac:dyDescent="0.2">
      <c r="A99" s="21" t="s">
        <v>77</v>
      </c>
      <c r="D99" s="67" t="s">
        <v>78</v>
      </c>
      <c r="E99" s="4" t="s">
        <v>40</v>
      </c>
      <c r="F99" s="5" t="s">
        <v>79</v>
      </c>
      <c r="G99" s="5" t="s">
        <v>80</v>
      </c>
      <c r="H99" s="5" t="s">
        <v>33</v>
      </c>
      <c r="I99" s="16" t="s">
        <v>10</v>
      </c>
      <c r="J99" s="16" t="s">
        <v>11</v>
      </c>
    </row>
    <row r="100" spans="1:10" ht="15" customHeight="1" x14ac:dyDescent="0.2">
      <c r="A100" s="21">
        <f>COUNTIF(Indicador15[[#This Row],[Observaciones]],"Cumple")</f>
        <v>0</v>
      </c>
      <c r="B100" s="22">
        <f>ROUND(AVERAGE(A100:A102),0)</f>
        <v>0</v>
      </c>
      <c r="D100" s="67"/>
      <c r="E100" s="8" t="s">
        <v>90</v>
      </c>
      <c r="F100" s="28"/>
      <c r="G100" s="28"/>
      <c r="H100" s="29"/>
      <c r="I100" s="29"/>
      <c r="J100" s="26"/>
    </row>
    <row r="101" spans="1:10" ht="15" customHeight="1" x14ac:dyDescent="0.2">
      <c r="A101" s="21">
        <f>COUNTIF(Indicador15[[#This Row],[Observaciones]],"Cumple")</f>
        <v>0</v>
      </c>
      <c r="B101" s="22"/>
      <c r="D101" s="67"/>
      <c r="E101" s="8" t="s">
        <v>91</v>
      </c>
      <c r="F101" s="28"/>
      <c r="G101" s="28"/>
      <c r="H101" s="29"/>
      <c r="I101" s="29"/>
      <c r="J101" s="26"/>
    </row>
    <row r="102" spans="1:10" ht="15" customHeight="1" x14ac:dyDescent="0.2">
      <c r="A102" s="21">
        <f>COUNTIF(Indicador15[[#This Row],[Observaciones]],"Cumple")</f>
        <v>0</v>
      </c>
      <c r="B102" s="22"/>
      <c r="D102" s="67"/>
      <c r="E102" s="8" t="s">
        <v>92</v>
      </c>
      <c r="F102" s="28"/>
      <c r="G102" s="28"/>
      <c r="H102" s="29"/>
      <c r="I102" s="29"/>
      <c r="J102" s="26"/>
    </row>
    <row r="103" spans="1:10" ht="15" customHeight="1" x14ac:dyDescent="0.2">
      <c r="A103" s="21">
        <f>COUNTIF(Indicador15[[#This Row],[Observaciones]],"Cumple")</f>
        <v>0</v>
      </c>
      <c r="B103" s="22">
        <f>ROUND(AVERAGE(A103:A105),0)</f>
        <v>0</v>
      </c>
      <c r="D103" s="67"/>
      <c r="E103" s="9" t="s">
        <v>93</v>
      </c>
      <c r="F103" s="34"/>
      <c r="G103" s="34"/>
      <c r="H103" s="30" t="str">
        <f>IFERROR(Indicador15[[#This Row],[No. Actividades ejecutadas (AESust)]]/Indicador15[[#This Row],[No. Actividades programadas (APSust)]],"")</f>
        <v/>
      </c>
      <c r="I103" s="30" t="str">
        <f>IF(Indicador15[[#This Row],[Cumplimiento]]="","",'Objetivos y metas'!$C$12)</f>
        <v/>
      </c>
      <c r="J103" s="26" t="str">
        <f>IF(Indicador15[[#This Row],[Cumplimiento]]="","",IF(Indicador15[[#This Row],[Cumplimiento]]&gt;=Indicador15[[#This Row],[Meta]],"Cumple","No Cumple"))</f>
        <v/>
      </c>
    </row>
    <row r="104" spans="1:10" ht="15" customHeight="1" x14ac:dyDescent="0.2">
      <c r="A104" s="21">
        <f>COUNTIF(Indicador15[[#This Row],[Observaciones]],"Cumple")</f>
        <v>0</v>
      </c>
      <c r="B104" s="22"/>
      <c r="D104" s="67"/>
      <c r="E104" s="8" t="s">
        <v>94</v>
      </c>
      <c r="F104" s="28"/>
      <c r="G104" s="28"/>
      <c r="H104" s="29" t="str">
        <f>IFERROR(Indicador15[[#This Row],[No. Actividades ejecutadas (AESust)]]/Indicador15[[#This Row],[No. Actividades programadas (APSust)]],"")</f>
        <v/>
      </c>
      <c r="I104" s="29" t="str">
        <f>IF(Indicador15[[#This Row],[Cumplimiento]]="","",'Objetivos y metas'!$C$12)</f>
        <v/>
      </c>
      <c r="J104" s="26" t="str">
        <f>IF(Indicador15[[#This Row],[Cumplimiento]]="","",IF(Indicador15[[#This Row],[Cumplimiento]]&gt;=Indicador15[[#This Row],[Meta]],"Cumple","No Cumple"))</f>
        <v/>
      </c>
    </row>
    <row r="105" spans="1:10" ht="15" customHeight="1" x14ac:dyDescent="0.2">
      <c r="A105" s="21">
        <f>COUNTIF(Indicador15[[#This Row],[Observaciones]],"Cumple")</f>
        <v>0</v>
      </c>
      <c r="B105" s="22"/>
      <c r="D105" s="67"/>
      <c r="E105" s="8" t="s">
        <v>95</v>
      </c>
      <c r="F105" s="28"/>
      <c r="G105" s="28"/>
      <c r="H105" s="29" t="str">
        <f>IFERROR(Indicador15[[#This Row],[No. Actividades ejecutadas (AESust)]]/Indicador15[[#This Row],[No. Actividades programadas (APSust)]],"")</f>
        <v/>
      </c>
      <c r="I105" s="29" t="str">
        <f>IF(Indicador15[[#This Row],[Cumplimiento]]="","",'Objetivos y metas'!$C$12)</f>
        <v/>
      </c>
      <c r="J105" s="26" t="str">
        <f>IF(Indicador15[[#This Row],[Cumplimiento]]="","",IF(Indicador15[[#This Row],[Cumplimiento]]&gt;=Indicador15[[#This Row],[Meta]],"Cumple","No Cumple"))</f>
        <v/>
      </c>
    </row>
    <row r="106" spans="1:10" ht="15" customHeight="1" x14ac:dyDescent="0.2">
      <c r="A106" s="21">
        <f>COUNTIF(Indicador15[[#This Row],[Observaciones]],"Cumple")</f>
        <v>0</v>
      </c>
      <c r="B106" s="22">
        <f>ROUND(AVERAGE(A106:A108),0)</f>
        <v>0</v>
      </c>
      <c r="D106" s="67"/>
      <c r="E106" s="8" t="s">
        <v>96</v>
      </c>
      <c r="F106" s="28"/>
      <c r="G106" s="28"/>
      <c r="H106" s="29" t="str">
        <f>IFERROR(Indicador15[[#This Row],[No. Actividades ejecutadas (AESust)]]/Indicador15[[#This Row],[No. Actividades programadas (APSust)]],"")</f>
        <v/>
      </c>
      <c r="I106" s="29" t="str">
        <f>IF(Indicador15[[#This Row],[Cumplimiento]]="","",'Objetivos y metas'!$C$12)</f>
        <v/>
      </c>
      <c r="J106" s="26" t="str">
        <f>IF(Indicador15[[#This Row],[Cumplimiento]]="","",IF(Indicador15[[#This Row],[Cumplimiento]]&gt;=Indicador15[[#This Row],[Meta]],"Cumple","No Cumple"))</f>
        <v/>
      </c>
    </row>
    <row r="107" spans="1:10" ht="15" customHeight="1" x14ac:dyDescent="0.2">
      <c r="A107" s="21">
        <f>COUNTIF(Indicador15[[#This Row],[Observaciones]],"Cumple")</f>
        <v>0</v>
      </c>
      <c r="B107" s="22"/>
      <c r="D107" s="67"/>
      <c r="E107" s="8" t="s">
        <v>97</v>
      </c>
      <c r="F107" s="28"/>
      <c r="G107" s="28"/>
      <c r="H107" s="29" t="str">
        <f>IFERROR(Indicador15[[#This Row],[No. Actividades ejecutadas (AESust)]]/Indicador15[[#This Row],[No. Actividades programadas (APSust)]],"")</f>
        <v/>
      </c>
      <c r="I107" s="29" t="str">
        <f>IF(Indicador15[[#This Row],[Cumplimiento]]="","",'Objetivos y metas'!$C$12)</f>
        <v/>
      </c>
      <c r="J107" s="26" t="str">
        <f>IF(Indicador15[[#This Row],[Cumplimiento]]="","",IF(Indicador15[[#This Row],[Cumplimiento]]&gt;=Indicador15[[#This Row],[Meta]],"Cumple","No Cumple"))</f>
        <v/>
      </c>
    </row>
    <row r="108" spans="1:10" ht="15" customHeight="1" x14ac:dyDescent="0.2">
      <c r="A108" s="21">
        <f>COUNTIF(Indicador15[[#This Row],[Observaciones]],"Cumple")</f>
        <v>0</v>
      </c>
      <c r="B108" s="22"/>
      <c r="D108" s="67"/>
      <c r="E108" s="8" t="s">
        <v>98</v>
      </c>
      <c r="F108" s="28"/>
      <c r="G108" s="28"/>
      <c r="H108" s="29" t="str">
        <f>IFERROR(Indicador15[[#This Row],[No. Actividades ejecutadas (AESust)]]/Indicador15[[#This Row],[No. Actividades programadas (APSust)]],"")</f>
        <v/>
      </c>
      <c r="I108" s="29" t="str">
        <f>IF(Indicador15[[#This Row],[Cumplimiento]]="","",'Objetivos y metas'!$C$12)</f>
        <v/>
      </c>
      <c r="J108" s="26" t="str">
        <f>IF(Indicador15[[#This Row],[Cumplimiento]]="","",IF(Indicador15[[#This Row],[Cumplimiento]]&gt;=Indicador15[[#This Row],[Meta]],"Cumple","No Cumple"))</f>
        <v/>
      </c>
    </row>
    <row r="109" spans="1:10" ht="15" customHeight="1" x14ac:dyDescent="0.2">
      <c r="A109" s="21">
        <f>COUNTIF(Indicador15[[#This Row],[Observaciones]],"Cumple")</f>
        <v>0</v>
      </c>
      <c r="B109" s="22">
        <f>ROUND(AVERAGE(A109:A111),0)</f>
        <v>0</v>
      </c>
      <c r="D109" s="67"/>
      <c r="E109" s="8" t="s">
        <v>99</v>
      </c>
      <c r="F109" s="28"/>
      <c r="G109" s="28"/>
      <c r="H109" s="29" t="str">
        <f>IFERROR(Indicador15[[#This Row],[No. Actividades ejecutadas (AESust)]]/Indicador15[[#This Row],[No. Actividades programadas (APSust)]],"")</f>
        <v/>
      </c>
      <c r="I109" s="29" t="str">
        <f>IF(Indicador15[[#This Row],[Cumplimiento]]="","",'Objetivos y metas'!$C$12)</f>
        <v/>
      </c>
      <c r="J109" s="26" t="str">
        <f>IF(Indicador15[[#This Row],[Cumplimiento]]="","",IF(Indicador15[[#This Row],[Cumplimiento]]&gt;=Indicador15[[#This Row],[Meta]],"Cumple","No Cumple"))</f>
        <v/>
      </c>
    </row>
    <row r="110" spans="1:10" ht="15" customHeight="1" x14ac:dyDescent="0.2">
      <c r="A110" s="21">
        <f>COUNTIF(Indicador15[[#This Row],[Observaciones]],"Cumple")</f>
        <v>0</v>
      </c>
      <c r="B110" s="22"/>
      <c r="D110" s="67"/>
      <c r="E110" s="8" t="s">
        <v>100</v>
      </c>
      <c r="F110" s="28"/>
      <c r="G110" s="28"/>
      <c r="H110" s="29" t="str">
        <f>IFERROR(Indicador15[[#This Row],[No. Actividades ejecutadas (AESust)]]/Indicador15[[#This Row],[No. Actividades programadas (APSust)]],"")</f>
        <v/>
      </c>
      <c r="I110" s="29" t="str">
        <f>IF(Indicador15[[#This Row],[Cumplimiento]]="","",'Objetivos y metas'!$C$12)</f>
        <v/>
      </c>
      <c r="J110" s="26" t="str">
        <f>IF(Indicador15[[#This Row],[Cumplimiento]]="","",IF(Indicador15[[#This Row],[Cumplimiento]]&gt;=Indicador15[[#This Row],[Meta]],"Cumple","No Cumple"))</f>
        <v/>
      </c>
    </row>
    <row r="111" spans="1:10" ht="15" customHeight="1" x14ac:dyDescent="0.2">
      <c r="A111" s="21">
        <f>COUNTIF(Indicador15[[#This Row],[Observaciones]],"Cumple")</f>
        <v>0</v>
      </c>
      <c r="B111" s="22"/>
      <c r="D111" s="67"/>
      <c r="E111" s="8" t="s">
        <v>101</v>
      </c>
      <c r="F111" s="28"/>
      <c r="G111" s="28"/>
      <c r="H111" s="29" t="str">
        <f>IFERROR(Indicador15[[#This Row],[No. Actividades ejecutadas (AESust)]]/Indicador15[[#This Row],[No. Actividades programadas (APSust)]],"")</f>
        <v/>
      </c>
      <c r="I111" s="29" t="str">
        <f>IF(Indicador15[[#This Row],[Cumplimiento]]="","",'Objetivos y metas'!$C$12)</f>
        <v/>
      </c>
      <c r="J111" s="26" t="str">
        <f>IF(Indicador15[[#This Row],[Cumplimiento]]="","",IF(Indicador15[[#This Row],[Cumplimiento]]&gt;=Indicador15[[#This Row],[Meta]],"Cumple","No Cumple"))</f>
        <v/>
      </c>
    </row>
    <row r="112" spans="1:10" x14ac:dyDescent="0.2">
      <c r="A112" s="2"/>
      <c r="H112" s="51"/>
      <c r="I112" s="51"/>
      <c r="J112" s="52"/>
    </row>
    <row r="113" spans="1:10" ht="12" customHeight="1" x14ac:dyDescent="0.2">
      <c r="A113" s="21" t="s">
        <v>81</v>
      </c>
      <c r="D113" s="67" t="s">
        <v>82</v>
      </c>
      <c r="E113" s="4" t="s">
        <v>40</v>
      </c>
      <c r="F113" s="5" t="s">
        <v>83</v>
      </c>
      <c r="G113" s="5" t="s">
        <v>84</v>
      </c>
      <c r="H113" s="5" t="s">
        <v>33</v>
      </c>
      <c r="I113" s="16" t="s">
        <v>10</v>
      </c>
      <c r="J113" s="16" t="s">
        <v>11</v>
      </c>
    </row>
    <row r="114" spans="1:10" ht="17.100000000000001" customHeight="1" x14ac:dyDescent="0.2">
      <c r="A114" s="21">
        <f>COUNTIF(Indicador16[[#This Row],[Observaciones]],"Cumple")</f>
        <v>0</v>
      </c>
      <c r="B114" s="22">
        <f>ROUND(AVERAGE(A114:A116),0)</f>
        <v>0</v>
      </c>
      <c r="D114" s="67"/>
      <c r="E114" s="8" t="s">
        <v>90</v>
      </c>
      <c r="F114" s="28"/>
      <c r="G114" s="28"/>
      <c r="H114" s="29"/>
      <c r="I114" s="29"/>
      <c r="J114" s="26"/>
    </row>
    <row r="115" spans="1:10" ht="17.100000000000001" customHeight="1" x14ac:dyDescent="0.2">
      <c r="A115" s="21">
        <f>COUNTIF(Indicador16[[#This Row],[Observaciones]],"Cumple")</f>
        <v>0</v>
      </c>
      <c r="B115" s="22"/>
      <c r="D115" s="67"/>
      <c r="E115" s="8" t="s">
        <v>91</v>
      </c>
      <c r="F115" s="28"/>
      <c r="G115" s="28"/>
      <c r="H115" s="29"/>
      <c r="I115" s="29"/>
      <c r="J115" s="26"/>
    </row>
    <row r="116" spans="1:10" ht="17.100000000000001" customHeight="1" x14ac:dyDescent="0.2">
      <c r="A116" s="21">
        <f>COUNTIF(Indicador16[[#This Row],[Observaciones]],"Cumple")</f>
        <v>0</v>
      </c>
      <c r="B116" s="22"/>
      <c r="D116" s="67"/>
      <c r="E116" s="8" t="s">
        <v>92</v>
      </c>
      <c r="F116" s="28"/>
      <c r="G116" s="28"/>
      <c r="H116" s="29"/>
      <c r="I116" s="29"/>
      <c r="J116" s="26"/>
    </row>
    <row r="117" spans="1:10" ht="17.100000000000001" customHeight="1" x14ac:dyDescent="0.2">
      <c r="A117" s="21">
        <f>COUNTIF(Indicador16[[#This Row],[Observaciones]],"Cumple")</f>
        <v>0</v>
      </c>
      <c r="B117" s="22">
        <f>ROUND(AVERAGE(A117:A119),0)</f>
        <v>0</v>
      </c>
      <c r="D117" s="67"/>
      <c r="E117" s="9" t="s">
        <v>93</v>
      </c>
      <c r="F117" s="34"/>
      <c r="G117" s="34"/>
      <c r="H117" s="30"/>
      <c r="I117" s="30"/>
      <c r="J117" s="26"/>
    </row>
    <row r="118" spans="1:10" ht="17.100000000000001" customHeight="1" x14ac:dyDescent="0.2">
      <c r="A118" s="21">
        <f>COUNTIF(Indicador16[[#This Row],[Observaciones]],"Cumple")</f>
        <v>0</v>
      </c>
      <c r="B118" s="22"/>
      <c r="D118" s="67"/>
      <c r="E118" s="8" t="s">
        <v>94</v>
      </c>
      <c r="F118" s="28"/>
      <c r="G118" s="28"/>
      <c r="H118" s="29" t="str">
        <f>IFERROR(Indicador16[[#This Row],[No. Actividades ejecutadas (AEAct)]]/Indicador16[[#This Row],[No. Actividades programadas (APAct)]],"")</f>
        <v/>
      </c>
      <c r="I118" s="29" t="str">
        <f>IF(Indicador16[[#This Row],[Cumplimiento]]="","",'Objetivos y metas'!$C$13)</f>
        <v/>
      </c>
      <c r="J118" s="26" t="str">
        <f>IF(Indicador16[[#This Row],[Cumplimiento]]="","",IF(Indicador16[[#This Row],[Cumplimiento]]&gt;=Indicador16[[#This Row],[Meta]],"Cumple","No Cumple"))</f>
        <v/>
      </c>
    </row>
    <row r="119" spans="1:10" ht="17.100000000000001" customHeight="1" x14ac:dyDescent="0.2">
      <c r="A119" s="21">
        <f>COUNTIF(Indicador16[[#This Row],[Observaciones]],"Cumple")</f>
        <v>0</v>
      </c>
      <c r="B119" s="22"/>
      <c r="D119" s="67"/>
      <c r="E119" s="8" t="s">
        <v>95</v>
      </c>
      <c r="F119" s="28"/>
      <c r="G119" s="28"/>
      <c r="H119" s="29" t="str">
        <f>IFERROR(Indicador16[[#This Row],[No. Actividades ejecutadas (AEAct)]]/Indicador16[[#This Row],[No. Actividades programadas (APAct)]],"")</f>
        <v/>
      </c>
      <c r="I119" s="29" t="str">
        <f>IF(Indicador16[[#This Row],[Cumplimiento]]="","",'Objetivos y metas'!$C$13)</f>
        <v/>
      </c>
      <c r="J119" s="26" t="str">
        <f>IF(Indicador16[[#This Row],[Cumplimiento]]="","",IF(Indicador16[[#This Row],[Cumplimiento]]&gt;=Indicador16[[#This Row],[Meta]],"Cumple","No Cumple"))</f>
        <v/>
      </c>
    </row>
    <row r="120" spans="1:10" ht="17.100000000000001" customHeight="1" x14ac:dyDescent="0.2">
      <c r="A120" s="21">
        <f>COUNTIF(Indicador16[[#This Row],[Observaciones]],"Cumple")</f>
        <v>0</v>
      </c>
      <c r="B120" s="22">
        <f>ROUND(AVERAGE(A120:A122),0)</f>
        <v>0</v>
      </c>
      <c r="D120" s="67"/>
      <c r="E120" s="8" t="s">
        <v>96</v>
      </c>
      <c r="F120" s="28"/>
      <c r="G120" s="28"/>
      <c r="H120" s="29" t="str">
        <f>IFERROR(Indicador16[[#This Row],[No. Actividades ejecutadas (AEAct)]]/Indicador16[[#This Row],[No. Actividades programadas (APAct)]],"")</f>
        <v/>
      </c>
      <c r="I120" s="29" t="str">
        <f>IF(Indicador16[[#This Row],[Cumplimiento]]="","",'Objetivos y metas'!$C$13)</f>
        <v/>
      </c>
      <c r="J120" s="26" t="str">
        <f>IF(Indicador16[[#This Row],[Cumplimiento]]="","",IF(Indicador16[[#This Row],[Cumplimiento]]&gt;=Indicador16[[#This Row],[Meta]],"Cumple","No Cumple"))</f>
        <v/>
      </c>
    </row>
    <row r="121" spans="1:10" ht="17.100000000000001" customHeight="1" x14ac:dyDescent="0.2">
      <c r="A121" s="21">
        <f>COUNTIF(Indicador16[[#This Row],[Observaciones]],"Cumple")</f>
        <v>0</v>
      </c>
      <c r="B121" s="22"/>
      <c r="D121" s="67"/>
      <c r="E121" s="8" t="s">
        <v>97</v>
      </c>
      <c r="F121" s="28"/>
      <c r="G121" s="28"/>
      <c r="H121" s="29" t="str">
        <f>IFERROR(Indicador16[[#This Row],[No. Actividades ejecutadas (AEAct)]]/Indicador16[[#This Row],[No. Actividades programadas (APAct)]],"")</f>
        <v/>
      </c>
      <c r="I121" s="29" t="str">
        <f>IF(Indicador16[[#This Row],[Cumplimiento]]="","",'Objetivos y metas'!$C$13)</f>
        <v/>
      </c>
      <c r="J121" s="26" t="str">
        <f>IF(Indicador16[[#This Row],[Cumplimiento]]="","",IF(Indicador16[[#This Row],[Cumplimiento]]&gt;=Indicador16[[#This Row],[Meta]],"Cumple","No Cumple"))</f>
        <v/>
      </c>
    </row>
    <row r="122" spans="1:10" ht="17.100000000000001" customHeight="1" x14ac:dyDescent="0.2">
      <c r="A122" s="21">
        <f>COUNTIF(Indicador16[[#This Row],[Observaciones]],"Cumple")</f>
        <v>0</v>
      </c>
      <c r="B122" s="22"/>
      <c r="D122" s="67"/>
      <c r="E122" s="8" t="s">
        <v>98</v>
      </c>
      <c r="F122" s="28"/>
      <c r="G122" s="28"/>
      <c r="H122" s="29" t="str">
        <f>IFERROR(Indicador16[[#This Row],[No. Actividades ejecutadas (AEAct)]]/Indicador16[[#This Row],[No. Actividades programadas (APAct)]],"")</f>
        <v/>
      </c>
      <c r="I122" s="29" t="str">
        <f>IF(Indicador16[[#This Row],[Cumplimiento]]="","",'Objetivos y metas'!$C$13)</f>
        <v/>
      </c>
      <c r="J122" s="26" t="str">
        <f>IF(Indicador16[[#This Row],[Cumplimiento]]="","",IF(Indicador16[[#This Row],[Cumplimiento]]&gt;=Indicador16[[#This Row],[Meta]],"Cumple","No Cumple"))</f>
        <v/>
      </c>
    </row>
    <row r="123" spans="1:10" ht="17.100000000000001" customHeight="1" x14ac:dyDescent="0.2">
      <c r="A123" s="21">
        <f>COUNTIF(Indicador16[[#This Row],[Observaciones]],"Cumple")</f>
        <v>0</v>
      </c>
      <c r="B123" s="22">
        <f>ROUND(AVERAGE(A123:A125),0)</f>
        <v>0</v>
      </c>
      <c r="D123" s="67"/>
      <c r="E123" s="8" t="s">
        <v>99</v>
      </c>
      <c r="F123" s="28"/>
      <c r="G123" s="28"/>
      <c r="H123" s="29" t="str">
        <f>IFERROR(Indicador16[[#This Row],[No. Actividades ejecutadas (AEAct)]]/Indicador16[[#This Row],[No. Actividades programadas (APAct)]],"")</f>
        <v/>
      </c>
      <c r="I123" s="29" t="str">
        <f>IF(Indicador16[[#This Row],[Cumplimiento]]="","",'Objetivos y metas'!$C$13)</f>
        <v/>
      </c>
      <c r="J123" s="26" t="str">
        <f>IF(Indicador16[[#This Row],[Cumplimiento]]="","",IF(Indicador16[[#This Row],[Cumplimiento]]&gt;=Indicador16[[#This Row],[Meta]],"Cumple","No Cumple"))</f>
        <v/>
      </c>
    </row>
    <row r="124" spans="1:10" ht="17.100000000000001" customHeight="1" x14ac:dyDescent="0.2">
      <c r="A124" s="21">
        <f>COUNTIF(Indicador16[[#This Row],[Observaciones]],"Cumple")</f>
        <v>0</v>
      </c>
      <c r="B124" s="22"/>
      <c r="D124" s="67"/>
      <c r="E124" s="8" t="s">
        <v>100</v>
      </c>
      <c r="F124" s="28"/>
      <c r="G124" s="28"/>
      <c r="H124" s="29" t="str">
        <f>IFERROR(Indicador16[[#This Row],[No. Actividades ejecutadas (AEAct)]]/Indicador16[[#This Row],[No. Actividades programadas (APAct)]],"")</f>
        <v/>
      </c>
      <c r="I124" s="29" t="str">
        <f>IF(Indicador16[[#This Row],[Cumplimiento]]="","",'Objetivos y metas'!$C$13)</f>
        <v/>
      </c>
      <c r="J124" s="26" t="str">
        <f>IF(Indicador16[[#This Row],[Cumplimiento]]="","",IF(Indicador16[[#This Row],[Cumplimiento]]&gt;=Indicador16[[#This Row],[Meta]],"Cumple","No Cumple"))</f>
        <v/>
      </c>
    </row>
    <row r="125" spans="1:10" ht="17.100000000000001" customHeight="1" x14ac:dyDescent="0.2">
      <c r="A125" s="21">
        <f>COUNTIF(Indicador16[[#This Row],[Observaciones]],"Cumple")</f>
        <v>0</v>
      </c>
      <c r="B125" s="22"/>
      <c r="D125" s="67"/>
      <c r="E125" s="8" t="s">
        <v>101</v>
      </c>
      <c r="F125" s="28"/>
      <c r="G125" s="28"/>
      <c r="H125" s="29" t="str">
        <f>IFERROR(Indicador16[[#This Row],[No. Actividades ejecutadas (AEAct)]]/Indicador16[[#This Row],[No. Actividades programadas (APAct)]],"")</f>
        <v/>
      </c>
      <c r="I125" s="29" t="str">
        <f>IF(Indicador16[[#This Row],[Cumplimiento]]="","",'Objetivos y metas'!$C$13)</f>
        <v/>
      </c>
      <c r="J125" s="26" t="str">
        <f>IF(Indicador16[[#This Row],[Cumplimiento]]="","",IF(Indicador16[[#This Row],[Cumplimiento]]&gt;=Indicador16[[#This Row],[Meta]],"Cumple","No Cumple"))</f>
        <v/>
      </c>
    </row>
    <row r="127" spans="1:10" x14ac:dyDescent="0.2">
      <c r="A127" s="21" t="s">
        <v>102</v>
      </c>
      <c r="D127" s="67" t="s">
        <v>103</v>
      </c>
      <c r="E127" s="4" t="s">
        <v>40</v>
      </c>
      <c r="F127" s="5" t="s">
        <v>83</v>
      </c>
      <c r="G127" s="5" t="s">
        <v>84</v>
      </c>
      <c r="H127" s="5" t="s">
        <v>33</v>
      </c>
      <c r="I127" s="16" t="s">
        <v>10</v>
      </c>
      <c r="J127" s="16" t="s">
        <v>11</v>
      </c>
    </row>
    <row r="128" spans="1:10" ht="15.95" customHeight="1" x14ac:dyDescent="0.2">
      <c r="A128" s="21">
        <f>COUNTIF(Indicador162[[#This Row],[Observaciones]],"Cumple")</f>
        <v>0</v>
      </c>
      <c r="B128" s="22">
        <f>ROUND(AVERAGE(A128:A130),0)</f>
        <v>0</v>
      </c>
      <c r="D128" s="67"/>
      <c r="E128" s="8" t="s">
        <v>90</v>
      </c>
      <c r="F128" s="28"/>
      <c r="G128" s="28"/>
      <c r="H128" s="29"/>
      <c r="I128" s="29"/>
      <c r="J128" s="26"/>
    </row>
    <row r="129" spans="1:10" ht="15.95" customHeight="1" x14ac:dyDescent="0.2">
      <c r="A129" s="21">
        <f>COUNTIF(Indicador162[[#This Row],[Observaciones]],"Cumple")</f>
        <v>0</v>
      </c>
      <c r="B129" s="22"/>
      <c r="D129" s="67"/>
      <c r="E129" s="8" t="s">
        <v>91</v>
      </c>
      <c r="F129" s="28"/>
      <c r="G129" s="28"/>
      <c r="H129" s="29"/>
      <c r="I129" s="29"/>
      <c r="J129" s="26"/>
    </row>
    <row r="130" spans="1:10" ht="15.95" customHeight="1" x14ac:dyDescent="0.2">
      <c r="A130" s="21">
        <f>COUNTIF(Indicador162[[#This Row],[Observaciones]],"Cumple")</f>
        <v>0</v>
      </c>
      <c r="B130" s="22"/>
      <c r="D130" s="67"/>
      <c r="E130" s="8" t="s">
        <v>92</v>
      </c>
      <c r="F130" s="28"/>
      <c r="G130" s="28"/>
      <c r="H130" s="29"/>
      <c r="I130" s="29"/>
      <c r="J130" s="26"/>
    </row>
    <row r="131" spans="1:10" ht="15.95" customHeight="1" x14ac:dyDescent="0.2">
      <c r="A131" s="21">
        <f>COUNTIF(Indicador162[[#This Row],[Observaciones]],"Cumple")</f>
        <v>0</v>
      </c>
      <c r="B131" s="22">
        <f>ROUND(AVERAGE(A131:A133),0)</f>
        <v>0</v>
      </c>
      <c r="D131" s="67"/>
      <c r="E131" s="9" t="s">
        <v>93</v>
      </c>
      <c r="F131" s="34"/>
      <c r="G131" s="34"/>
      <c r="H131" s="30" t="str">
        <f>IFERROR(Indicador162[[#This Row],[No. Actividades ejecutadas (AEAct)]]/Indicador162[[#This Row],[No. Actividades programadas (APAct)]],"")</f>
        <v/>
      </c>
      <c r="I131" s="30" t="str">
        <f>IF(Indicador162[[#This Row],[Cumplimiento]]="","",'Objetivos y metas'!$C$14)</f>
        <v/>
      </c>
      <c r="J131" s="26" t="str">
        <f>IF(Indicador162[[#This Row],[Cumplimiento]]="","",IF(Indicador162[[#This Row],[Cumplimiento]]&gt;=Indicador162[[#This Row],[Meta]],"Cumple","No Cumple"))</f>
        <v/>
      </c>
    </row>
    <row r="132" spans="1:10" ht="15.95" customHeight="1" x14ac:dyDescent="0.2">
      <c r="A132" s="21">
        <f>COUNTIF(Indicador162[[#This Row],[Observaciones]],"Cumple")</f>
        <v>0</v>
      </c>
      <c r="B132" s="22"/>
      <c r="D132" s="67"/>
      <c r="E132" s="8" t="s">
        <v>94</v>
      </c>
      <c r="F132" s="28"/>
      <c r="G132" s="28"/>
      <c r="H132" s="29" t="str">
        <f>IFERROR(Indicador162[[#This Row],[No. Actividades ejecutadas (AEAct)]]/Indicador162[[#This Row],[No. Actividades programadas (APAct)]],"")</f>
        <v/>
      </c>
      <c r="I132" s="29" t="str">
        <f>IF(Indicador162[[#This Row],[Cumplimiento]]="","",'Objetivos y metas'!$C$14)</f>
        <v/>
      </c>
      <c r="J132" s="26" t="str">
        <f>IF(Indicador162[[#This Row],[Cumplimiento]]="","",IF(Indicador162[[#This Row],[Cumplimiento]]&gt;=Indicador162[[#This Row],[Meta]],"Cumple","No Cumple"))</f>
        <v/>
      </c>
    </row>
    <row r="133" spans="1:10" ht="15.95" customHeight="1" x14ac:dyDescent="0.2">
      <c r="A133" s="21">
        <f>COUNTIF(Indicador162[[#This Row],[Observaciones]],"Cumple")</f>
        <v>0</v>
      </c>
      <c r="B133" s="22"/>
      <c r="D133" s="67"/>
      <c r="E133" s="8" t="s">
        <v>95</v>
      </c>
      <c r="F133" s="28"/>
      <c r="G133" s="28"/>
      <c r="H133" s="29" t="str">
        <f>IFERROR(Indicador162[[#This Row],[No. Actividades ejecutadas (AEAct)]]/Indicador162[[#This Row],[No. Actividades programadas (APAct)]],"")</f>
        <v/>
      </c>
      <c r="I133" s="29" t="str">
        <f>IF(Indicador162[[#This Row],[Cumplimiento]]="","",'Objetivos y metas'!$C$14)</f>
        <v/>
      </c>
      <c r="J133" s="26" t="str">
        <f>IF(Indicador162[[#This Row],[Cumplimiento]]="","",IF(Indicador162[[#This Row],[Cumplimiento]]&gt;=Indicador162[[#This Row],[Meta]],"Cumple","No Cumple"))</f>
        <v/>
      </c>
    </row>
    <row r="134" spans="1:10" ht="15.95" customHeight="1" x14ac:dyDescent="0.2">
      <c r="A134" s="21">
        <f>COUNTIF(Indicador162[[#This Row],[Observaciones]],"Cumple")</f>
        <v>0</v>
      </c>
      <c r="B134" s="22">
        <f>ROUND(AVERAGE(A134:A136),0)</f>
        <v>0</v>
      </c>
      <c r="D134" s="67"/>
      <c r="E134" s="8" t="s">
        <v>96</v>
      </c>
      <c r="F134" s="28"/>
      <c r="G134" s="28"/>
      <c r="H134" s="29" t="str">
        <f>IFERROR(Indicador162[[#This Row],[No. Actividades ejecutadas (AEAct)]]/Indicador162[[#This Row],[No. Actividades programadas (APAct)]],"")</f>
        <v/>
      </c>
      <c r="I134" s="29" t="str">
        <f>IF(Indicador162[[#This Row],[Cumplimiento]]="","",'Objetivos y metas'!$C$14)</f>
        <v/>
      </c>
      <c r="J134" s="26" t="str">
        <f>IF(Indicador162[[#This Row],[Cumplimiento]]="","",IF(Indicador162[[#This Row],[Cumplimiento]]&gt;=Indicador162[[#This Row],[Meta]],"Cumple","No Cumple"))</f>
        <v/>
      </c>
    </row>
    <row r="135" spans="1:10" ht="15.95" customHeight="1" x14ac:dyDescent="0.2">
      <c r="A135" s="21">
        <f>COUNTIF(Indicador162[[#This Row],[Observaciones]],"Cumple")</f>
        <v>0</v>
      </c>
      <c r="B135" s="22"/>
      <c r="D135" s="67"/>
      <c r="E135" s="8" t="s">
        <v>97</v>
      </c>
      <c r="F135" s="28"/>
      <c r="G135" s="28"/>
      <c r="H135" s="29" t="str">
        <f>IFERROR(Indicador162[[#This Row],[No. Actividades ejecutadas (AEAct)]]/Indicador162[[#This Row],[No. Actividades programadas (APAct)]],"")</f>
        <v/>
      </c>
      <c r="I135" s="29" t="str">
        <f>IF(Indicador162[[#This Row],[Cumplimiento]]="","",'Objetivos y metas'!$C$14)</f>
        <v/>
      </c>
      <c r="J135" s="26" t="str">
        <f>IF(Indicador162[[#This Row],[Cumplimiento]]="","",IF(Indicador162[[#This Row],[Cumplimiento]]&gt;=Indicador162[[#This Row],[Meta]],"Cumple","No Cumple"))</f>
        <v/>
      </c>
    </row>
    <row r="136" spans="1:10" ht="15.95" customHeight="1" x14ac:dyDescent="0.2">
      <c r="A136" s="21">
        <f>COUNTIF(Indicador162[[#This Row],[Observaciones]],"Cumple")</f>
        <v>0</v>
      </c>
      <c r="B136" s="22"/>
      <c r="D136" s="67"/>
      <c r="E136" s="8" t="s">
        <v>98</v>
      </c>
      <c r="F136" s="28"/>
      <c r="G136" s="28"/>
      <c r="H136" s="29" t="str">
        <f>IFERROR(Indicador162[[#This Row],[No. Actividades ejecutadas (AEAct)]]/Indicador162[[#This Row],[No. Actividades programadas (APAct)]],"")</f>
        <v/>
      </c>
      <c r="I136" s="29" t="str">
        <f>IF(Indicador162[[#This Row],[Cumplimiento]]="","",'Objetivos y metas'!$C$14)</f>
        <v/>
      </c>
      <c r="J136" s="26" t="str">
        <f>IF(Indicador162[[#This Row],[Cumplimiento]]="","",IF(Indicador162[[#This Row],[Cumplimiento]]&gt;=Indicador162[[#This Row],[Meta]],"Cumple","No Cumple"))</f>
        <v/>
      </c>
    </row>
    <row r="137" spans="1:10" ht="15.95" customHeight="1" x14ac:dyDescent="0.2">
      <c r="A137" s="21">
        <f>COUNTIF(Indicador162[[#This Row],[Observaciones]],"Cumple")</f>
        <v>0</v>
      </c>
      <c r="B137" s="22">
        <f>ROUND(AVERAGE(A137:A139),0)</f>
        <v>0</v>
      </c>
      <c r="D137" s="67"/>
      <c r="E137" s="8" t="s">
        <v>99</v>
      </c>
      <c r="F137" s="28"/>
      <c r="G137" s="28"/>
      <c r="H137" s="29" t="str">
        <f>IFERROR(Indicador162[[#This Row],[No. Actividades ejecutadas (AEAct)]]/Indicador162[[#This Row],[No. Actividades programadas (APAct)]],"")</f>
        <v/>
      </c>
      <c r="I137" s="29" t="str">
        <f>IF(Indicador162[[#This Row],[Cumplimiento]]="","",'Objetivos y metas'!$C$14)</f>
        <v/>
      </c>
      <c r="J137" s="26" t="str">
        <f>IF(Indicador162[[#This Row],[Cumplimiento]]="","",IF(Indicador162[[#This Row],[Cumplimiento]]&gt;=Indicador162[[#This Row],[Meta]],"Cumple","No Cumple"))</f>
        <v/>
      </c>
    </row>
    <row r="138" spans="1:10" ht="15.95" customHeight="1" x14ac:dyDescent="0.2">
      <c r="A138" s="21">
        <f>COUNTIF(Indicador162[[#This Row],[Observaciones]],"Cumple")</f>
        <v>0</v>
      </c>
      <c r="B138" s="22"/>
      <c r="D138" s="67"/>
      <c r="E138" s="8" t="s">
        <v>100</v>
      </c>
      <c r="F138" s="28"/>
      <c r="G138" s="28"/>
      <c r="H138" s="29" t="str">
        <f>IFERROR(Indicador162[[#This Row],[No. Actividades ejecutadas (AEAct)]]/Indicador162[[#This Row],[No. Actividades programadas (APAct)]],"")</f>
        <v/>
      </c>
      <c r="I138" s="29" t="str">
        <f>IF(Indicador162[[#This Row],[Cumplimiento]]="","",'Objetivos y metas'!$C$14)</f>
        <v/>
      </c>
      <c r="J138" s="26" t="str">
        <f>IF(Indicador162[[#This Row],[Cumplimiento]]="","",IF(Indicador162[[#This Row],[Cumplimiento]]&gt;=Indicador162[[#This Row],[Meta]],"Cumple","No Cumple"))</f>
        <v/>
      </c>
    </row>
    <row r="139" spans="1:10" ht="15.95" customHeight="1" x14ac:dyDescent="0.2">
      <c r="A139" s="21">
        <f>COUNTIF(Indicador162[[#This Row],[Observaciones]],"Cumple")</f>
        <v>0</v>
      </c>
      <c r="B139" s="22"/>
      <c r="D139" s="67"/>
      <c r="E139" s="8" t="s">
        <v>101</v>
      </c>
      <c r="F139" s="28"/>
      <c r="G139" s="28"/>
      <c r="H139" s="29" t="str">
        <f>IFERROR(Indicador162[[#This Row],[No. Actividades ejecutadas (AEAct)]]/Indicador162[[#This Row],[No. Actividades programadas (APAct)]],"")</f>
        <v/>
      </c>
      <c r="I139" s="29" t="str">
        <f>IF(Indicador162[[#This Row],[Cumplimiento]]="","",'Objetivos y metas'!$C$14)</f>
        <v/>
      </c>
      <c r="J139" s="26" t="str">
        <f>IF(Indicador162[[#This Row],[Cumplimiento]]="","",IF(Indicador162[[#This Row],[Cumplimiento]]&gt;=Indicador162[[#This Row],[Meta]],"Cumple","No Cumple"))</f>
        <v/>
      </c>
    </row>
  </sheetData>
  <sheetProtection formatCells="0" formatRows="0" insertRows="0" insertHyperlinks="0" deleteColumns="0" deleteRows="0" pivotTables="0"/>
  <mergeCells count="22">
    <mergeCell ref="D127:D139"/>
    <mergeCell ref="F12:H12"/>
    <mergeCell ref="D14:D17"/>
    <mergeCell ref="D24:D28"/>
    <mergeCell ref="D30:D34"/>
    <mergeCell ref="D36:D48"/>
    <mergeCell ref="D20:D21"/>
    <mergeCell ref="D85:D97"/>
    <mergeCell ref="D50:D62"/>
    <mergeCell ref="D64:D68"/>
    <mergeCell ref="D70:D74"/>
    <mergeCell ref="D76:D80"/>
    <mergeCell ref="D82:D83"/>
    <mergeCell ref="D99:D111"/>
    <mergeCell ref="D113:D125"/>
    <mergeCell ref="D2:D4"/>
    <mergeCell ref="N2:O4"/>
    <mergeCell ref="E4:G4"/>
    <mergeCell ref="H4:J4"/>
    <mergeCell ref="K4:M4"/>
    <mergeCell ref="E2:M2"/>
    <mergeCell ref="E3:M3"/>
  </mergeCells>
  <phoneticPr fontId="2" type="noConversion"/>
  <conditionalFormatting sqref="J25:J28 J31:J34 I35">
    <cfRule type="containsText" dxfId="21" priority="79" operator="containsText" text="No Cumple">
      <formula>NOT(ISERROR(SEARCH("No Cumple",I25)))</formula>
    </cfRule>
    <cfRule type="containsText" dxfId="20" priority="81" operator="containsText" text="Cumple">
      <formula>NOT(ISERROR(SEARCH("Cumple",I25)))</formula>
    </cfRule>
  </conditionalFormatting>
  <conditionalFormatting sqref="J37:J48 J86:J98 J100:J112">
    <cfRule type="containsText" dxfId="19" priority="70" stopIfTrue="1" operator="containsText" text="No Cumple">
      <formula>NOT(ISERROR(SEARCH("No Cumple",J37)))</formula>
    </cfRule>
    <cfRule type="containsText" dxfId="18" priority="72" operator="containsText" text="Cumple">
      <formula>NOT(ISERROR(SEARCH("Cumple",J37)))</formula>
    </cfRule>
  </conditionalFormatting>
  <conditionalFormatting sqref="J51:J62">
    <cfRule type="containsText" dxfId="17" priority="61" stopIfTrue="1" operator="containsText" text="No Cumple">
      <formula>NOT(ISERROR(SEARCH("No Cumple",J51)))</formula>
    </cfRule>
    <cfRule type="containsText" dxfId="16" priority="63" operator="containsText" text="Cumple">
      <formula>NOT(ISERROR(SEARCH("Cumple",J51)))</formula>
    </cfRule>
  </conditionalFormatting>
  <conditionalFormatting sqref="J65:J68">
    <cfRule type="containsText" dxfId="15" priority="58" operator="containsText" text="No Cumple">
      <formula>NOT(ISERROR(SEARCH("No Cumple",J65)))</formula>
    </cfRule>
    <cfRule type="containsText" dxfId="14" priority="60" operator="containsText" text="Cumple">
      <formula>NOT(ISERROR(SEARCH("Cumple",J65)))</formula>
    </cfRule>
  </conditionalFormatting>
  <conditionalFormatting sqref="J71:J74">
    <cfRule type="containsText" dxfId="13" priority="55" stopIfTrue="1" operator="containsText" text="No Cumple">
      <formula>NOT(ISERROR(SEARCH("No Cumple",J71)))</formula>
    </cfRule>
    <cfRule type="containsText" dxfId="12" priority="57" operator="containsText" text="Cumple">
      <formula>NOT(ISERROR(SEARCH("Cumple",J71)))</formula>
    </cfRule>
  </conditionalFormatting>
  <conditionalFormatting sqref="J77:J80">
    <cfRule type="containsText" dxfId="11" priority="52" stopIfTrue="1" operator="containsText" text="No Cumple">
      <formula>NOT(ISERROR(SEARCH("No Cumple",J77)))</formula>
    </cfRule>
    <cfRule type="containsText" dxfId="10" priority="54" operator="containsText" text="Cumple">
      <formula>NOT(ISERROR(SEARCH("Cumple",J77)))</formula>
    </cfRule>
  </conditionalFormatting>
  <conditionalFormatting sqref="J83">
    <cfRule type="containsText" dxfId="9" priority="47" stopIfTrue="1" operator="containsText" text="No Cumple">
      <formula>NOT(ISERROR(SEARCH("No Cumple",J83)))</formula>
    </cfRule>
    <cfRule type="containsText" dxfId="8" priority="49" operator="containsText" text="Cumple">
      <formula>NOT(ISERROR(SEARCH("Cumple",J83)))</formula>
    </cfRule>
  </conditionalFormatting>
  <conditionalFormatting sqref="J114:J125">
    <cfRule type="containsText" dxfId="7" priority="38" stopIfTrue="1" operator="containsText" text="No Cumple">
      <formula>NOT(ISERROR(SEARCH("No Cumple",J114)))</formula>
    </cfRule>
    <cfRule type="containsText" dxfId="6" priority="40" operator="containsText" text="Cumple">
      <formula>NOT(ISERROR(SEARCH("Cumple",J114)))</formula>
    </cfRule>
  </conditionalFormatting>
  <conditionalFormatting sqref="J128:J139">
    <cfRule type="containsText" dxfId="5" priority="1" stopIfTrue="1" operator="containsText" text="No Cumple">
      <formula>NOT(ISERROR(SEARCH("No Cumple",J128)))</formula>
    </cfRule>
    <cfRule type="containsText" dxfId="4" priority="2" operator="containsText" text="Cumple">
      <formula>NOT(ISERROR(SEARCH("Cumple",J128)))</formula>
    </cfRule>
  </conditionalFormatting>
  <conditionalFormatting sqref="N14:N17">
    <cfRule type="containsText" dxfId="3" priority="88" stopIfTrue="1" operator="containsText" text="No Cumple">
      <formula>NOT(ISERROR(SEARCH("No Cumple",N14)))</formula>
    </cfRule>
    <cfRule type="containsText" dxfId="2" priority="89" operator="containsText" text="Cumple">
      <formula>NOT(ISERROR(SEARCH("Cumple",N14)))</formula>
    </cfRule>
  </conditionalFormatting>
  <conditionalFormatting sqref="O21:O22">
    <cfRule type="containsText" dxfId="1" priority="82" stopIfTrue="1" operator="containsText" text="No Cumple">
      <formula>NOT(ISERROR(SEARCH("No Cumple",O21)))</formula>
    </cfRule>
    <cfRule type="containsText" dxfId="0" priority="83" operator="containsText" text="Cumple">
      <formula>NOT(ISERROR(SEARCH("Cumple",O21)))</formula>
    </cfRule>
  </conditionalFormatting>
  <pageMargins left="0.7" right="0.7" top="0.75" bottom="0.75" header="0.3" footer="0.3"/>
  <pageSetup orientation="portrait" r:id="rId1"/>
  <drawing r:id="rId2"/>
  <legacyDrawing r:id="rId3"/>
  <tableParts count="14"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8864A-1324-4AEC-9852-D4B97DDFE2EA}">
  <sheetPr codeName="Hoja3"/>
  <dimension ref="A1"/>
  <sheetViews>
    <sheetView showGridLines="0" zoomScale="70" zoomScaleNormal="70" workbookViewId="0">
      <selection activeCell="S8" sqref="S8"/>
    </sheetView>
  </sheetViews>
  <sheetFormatPr baseColWidth="10" defaultColWidth="11.5703125" defaultRowHeight="12.75" x14ac:dyDescent="0.2"/>
  <cols>
    <col min="1" max="16384" width="11.5703125" style="1"/>
  </cols>
  <sheetData/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23FD5-42D2-49C3-B99D-58D20519B7C1}">
  <sheetPr codeName="Hoja2"/>
  <dimension ref="A1:D15"/>
  <sheetViews>
    <sheetView showGridLines="0" zoomScaleNormal="100" workbookViewId="0">
      <pane ySplit="1" topLeftCell="A2" activePane="bottomLeft" state="frozen"/>
      <selection pane="bottomLeft" activeCell="B6" sqref="B6"/>
    </sheetView>
  </sheetViews>
  <sheetFormatPr baseColWidth="10" defaultColWidth="11.42578125" defaultRowHeight="12.75" x14ac:dyDescent="0.2"/>
  <cols>
    <col min="1" max="1" width="38.140625" customWidth="1"/>
    <col min="2" max="2" width="50.5703125" customWidth="1"/>
    <col min="3" max="3" width="17.85546875" bestFit="1" customWidth="1"/>
    <col min="4" max="4" width="44.42578125" style="59" bestFit="1" customWidth="1"/>
  </cols>
  <sheetData>
    <row r="1" spans="1:4" x14ac:dyDescent="0.2">
      <c r="A1" s="55" t="s">
        <v>104</v>
      </c>
      <c r="B1" s="31" t="s">
        <v>85</v>
      </c>
      <c r="C1" s="32" t="s">
        <v>86</v>
      </c>
      <c r="D1" s="57" t="s">
        <v>11</v>
      </c>
    </row>
    <row r="2" spans="1:4" ht="48.6" customHeight="1" x14ac:dyDescent="0.2">
      <c r="A2" s="56"/>
      <c r="B2" s="43"/>
      <c r="C2" s="44"/>
      <c r="D2" s="48"/>
    </row>
    <row r="3" spans="1:4" ht="48.6" customHeight="1" x14ac:dyDescent="0.2">
      <c r="A3" s="70"/>
      <c r="B3" s="43"/>
      <c r="C3" s="45"/>
      <c r="D3" s="48"/>
    </row>
    <row r="4" spans="1:4" ht="48.6" customHeight="1" x14ac:dyDescent="0.2">
      <c r="A4" s="70"/>
      <c r="B4" s="43"/>
      <c r="C4" s="46"/>
      <c r="D4" s="48"/>
    </row>
    <row r="5" spans="1:4" ht="48.6" customHeight="1" x14ac:dyDescent="0.2">
      <c r="A5" s="70"/>
      <c r="B5" s="43"/>
      <c r="C5" s="46"/>
      <c r="D5" s="48"/>
    </row>
    <row r="6" spans="1:4" ht="48.6" customHeight="1" x14ac:dyDescent="0.2">
      <c r="A6" s="70"/>
      <c r="B6" s="43"/>
      <c r="C6" s="46"/>
      <c r="D6" s="48"/>
    </row>
    <row r="7" spans="1:4" ht="48.6" customHeight="1" x14ac:dyDescent="0.2">
      <c r="A7" s="70"/>
      <c r="B7" s="43"/>
      <c r="C7" s="45"/>
      <c r="D7" s="48"/>
    </row>
    <row r="8" spans="1:4" ht="48.6" customHeight="1" x14ac:dyDescent="0.2">
      <c r="A8" s="70"/>
      <c r="B8" s="43"/>
      <c r="C8" s="45"/>
      <c r="D8" s="48"/>
    </row>
    <row r="9" spans="1:4" ht="48.6" customHeight="1" x14ac:dyDescent="0.2">
      <c r="A9" s="70"/>
      <c r="B9" s="43"/>
      <c r="C9" s="46"/>
      <c r="D9" s="48"/>
    </row>
    <row r="10" spans="1:4" ht="48.6" customHeight="1" x14ac:dyDescent="0.2">
      <c r="A10" s="70"/>
      <c r="B10" s="43"/>
      <c r="C10" s="46"/>
      <c r="D10" s="48"/>
    </row>
    <row r="11" spans="1:4" ht="48.6" customHeight="1" x14ac:dyDescent="0.2">
      <c r="A11" s="70"/>
      <c r="B11" s="43"/>
      <c r="C11" s="46"/>
      <c r="D11" s="48"/>
    </row>
    <row r="12" spans="1:4" ht="48.6" customHeight="1" x14ac:dyDescent="0.2">
      <c r="A12" s="70"/>
      <c r="B12" s="43"/>
      <c r="C12" s="46"/>
      <c r="D12" s="48"/>
    </row>
    <row r="13" spans="1:4" ht="48.6" customHeight="1" x14ac:dyDescent="0.2">
      <c r="A13" s="70"/>
      <c r="B13" s="47"/>
      <c r="C13" s="46"/>
      <c r="D13" s="48"/>
    </row>
    <row r="14" spans="1:4" ht="48.6" customHeight="1" x14ac:dyDescent="0.2">
      <c r="A14" s="70"/>
      <c r="B14" s="47"/>
      <c r="C14" s="54"/>
      <c r="D14" s="58"/>
    </row>
    <row r="15" spans="1:4" x14ac:dyDescent="0.2">
      <c r="A15" s="60"/>
      <c r="B15" s="47"/>
      <c r="C15" s="54"/>
      <c r="D15" s="58"/>
    </row>
  </sheetData>
  <mergeCells count="3">
    <mergeCell ref="A3:A6"/>
    <mergeCell ref="A7:A8"/>
    <mergeCell ref="A9:A14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0e6141-a995-4631-afe8-71b82c4ad080">
      <Terms xmlns="http://schemas.microsoft.com/office/infopath/2007/PartnerControls"/>
    </lcf76f155ced4ddcb4097134ff3c332f>
    <TaxCatchAll xmlns="3e67dcd8-f433-4d79-ab98-8dac9d1e8c9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7227B10281314A82AF28766DAB5D4F" ma:contentTypeVersion="17" ma:contentTypeDescription="Create a new document." ma:contentTypeScope="" ma:versionID="8881da580152ca6bab0551ccf1494298">
  <xsd:schema xmlns:xsd="http://www.w3.org/2001/XMLSchema" xmlns:xs="http://www.w3.org/2001/XMLSchema" xmlns:p="http://schemas.microsoft.com/office/2006/metadata/properties" xmlns:ns2="2d0e6141-a995-4631-afe8-71b82c4ad080" xmlns:ns3="3e67dcd8-f433-4d79-ab98-8dac9d1e8c92" targetNamespace="http://schemas.microsoft.com/office/2006/metadata/properties" ma:root="true" ma:fieldsID="806c64a67ce52c67dbf384af91d2bb0d" ns2:_="" ns3:_="">
    <xsd:import namespace="2d0e6141-a995-4631-afe8-71b82c4ad080"/>
    <xsd:import namespace="3e67dcd8-f433-4d79-ab98-8dac9d1e8c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0e6141-a995-4631-afe8-71b82c4ad0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dc36aa57-3f10-401e-86cd-e994c70b671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67dcd8-f433-4d79-ab98-8dac9d1e8c92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2492153-bf1f-4940-ab6e-2d9dea52f021}" ma:internalName="TaxCatchAll" ma:showField="CatchAllData" ma:web="3e67dcd8-f433-4d79-ab98-8dac9d1e8c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EE0BAE-62C9-4A87-A099-EAE4E821A45B}">
  <ds:schemaRefs>
    <ds:schemaRef ds:uri="http://schemas.microsoft.com/office/2006/metadata/properties"/>
    <ds:schemaRef ds:uri="http://schemas.microsoft.com/office/infopath/2007/PartnerControls"/>
    <ds:schemaRef ds:uri="2d0e6141-a995-4631-afe8-71b82c4ad080"/>
    <ds:schemaRef ds:uri="3e67dcd8-f433-4d79-ab98-8dac9d1e8c92"/>
  </ds:schemaRefs>
</ds:datastoreItem>
</file>

<file path=customXml/itemProps2.xml><?xml version="1.0" encoding="utf-8"?>
<ds:datastoreItem xmlns:ds="http://schemas.openxmlformats.org/officeDocument/2006/customXml" ds:itemID="{C7364206-E697-4F90-B2CF-B844C77911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0e6141-a995-4631-afe8-71b82c4ad080"/>
    <ds:schemaRef ds:uri="3e67dcd8-f433-4d79-ab98-8dac9d1e8c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F72908-B414-4DEF-AB4A-A5C84FBAE6B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Indicadores Res 595 2022</vt:lpstr>
      <vt:lpstr>Informe Pesv</vt:lpstr>
      <vt:lpstr>Objetivos y metas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Kevin Surmay</dc:creator>
  <cp:keywords/>
  <dc:description/>
  <cp:lastModifiedBy>Juan Camilo Calderon - SGI</cp:lastModifiedBy>
  <cp:revision/>
  <dcterms:created xsi:type="dcterms:W3CDTF">2021-06-22T13:34:34Z</dcterms:created>
  <dcterms:modified xsi:type="dcterms:W3CDTF">2025-09-29T19:19:15Z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0x010100757227B10281314A82AF28766DAB5D4F</vt:lpwstr>
  </property>
  <property fmtid="{D5CDD505-2E9C-101B-9397-08002B2CF9AE}" pid="3" name="MediaServiceImageTags">
    <vt:lpwstr/>
  </property>
</Properties>
</file>