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https://crautonomagovco-my.sharepoint.com/personal/arojano_crautonoma_gov_co/Documents/RECURSO HIDRICO/METAS DE REDUCCION DE CARGA/2021/"/>
    </mc:Choice>
  </mc:AlternateContent>
  <xr:revisionPtr revIDLastSave="3" documentId="8_{90F92446-AF35-4FF8-82E7-9889B3D775EF}" xr6:coauthVersionLast="47" xr6:coauthVersionMax="47" xr10:uidLastSave="{9AC1147A-F804-42CB-93FA-167BE84B46FA}"/>
  <bookViews>
    <workbookView xWindow="-120" yWindow="-120" windowWidth="29040" windowHeight="15840" firstSheet="6" activeTab="13" xr2:uid="{00000000-000D-0000-FFFF-FFFF00000000}"/>
  </bookViews>
  <sheets>
    <sheet name="SOLEDAD" sheetId="15" r:id="rId1"/>
    <sheet name="USIACURI" sheetId="14" r:id="rId2"/>
    <sheet name="PIOJÓ" sheetId="13" r:id="rId3"/>
    <sheet name="JUAN DE ACOSTA" sheetId="12" r:id="rId4"/>
    <sheet name="GALAPA" sheetId="11" r:id="rId5"/>
    <sheet name="TUBARÁ" sheetId="10" r:id="rId6"/>
    <sheet name="PTO COLOMBIA" sheetId="9" r:id="rId7"/>
    <sheet name="POLONUEVO" sheetId="8" r:id="rId8"/>
    <sheet name="SABANALARGA" sheetId="7" r:id="rId9"/>
    <sheet name="PONEDERA" sheetId="6" r:id="rId10"/>
    <sheet name="BARANOA" sheetId="5" r:id="rId11"/>
    <sheet name="INFORME DE EVALUACION" sheetId="17" r:id="rId12"/>
    <sheet name="PALMAR DE VAERLA" sheetId="4" r:id="rId13"/>
    <sheet name="SANTO TOMAS" sheetId="3" r:id="rId14"/>
    <sheet name="SABANGRANDE" sheetId="2" r:id="rId15"/>
    <sheet name="BARRANQUILLA" sheetId="1" r:id="rId16"/>
  </sheets>
  <externalReferences>
    <externalReference r:id="rId17"/>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1" i="15" l="1"/>
  <c r="G31" i="15"/>
  <c r="F31" i="15"/>
  <c r="E31" i="15"/>
  <c r="D31" i="15"/>
  <c r="H30" i="15"/>
  <c r="G30" i="15"/>
  <c r="F30" i="15"/>
  <c r="E30" i="15"/>
  <c r="D30" i="15"/>
  <c r="H12" i="15"/>
  <c r="G12" i="15"/>
  <c r="F12" i="15"/>
  <c r="E12" i="15"/>
  <c r="D12" i="15"/>
  <c r="H11" i="15"/>
  <c r="G11" i="15"/>
  <c r="F11" i="15"/>
  <c r="E11" i="15"/>
  <c r="D11" i="15"/>
  <c r="H9" i="15"/>
  <c r="H14" i="15" s="1"/>
  <c r="G9" i="15"/>
  <c r="G14" i="15" s="1"/>
  <c r="G21" i="15" s="1"/>
  <c r="F9" i="15"/>
  <c r="F14" i="15" s="1"/>
  <c r="E9" i="15"/>
  <c r="E14" i="15" s="1"/>
  <c r="D9" i="15"/>
  <c r="D14" i="15" s="1"/>
  <c r="H30" i="14"/>
  <c r="G30" i="14"/>
  <c r="F30" i="14"/>
  <c r="E30" i="14"/>
  <c r="D30" i="14"/>
  <c r="H29" i="14"/>
  <c r="G29" i="14"/>
  <c r="F29" i="14"/>
  <c r="E29" i="14"/>
  <c r="D29" i="14"/>
  <c r="H12" i="14"/>
  <c r="G12" i="14"/>
  <c r="F12" i="14"/>
  <c r="E12" i="14"/>
  <c r="D12" i="14"/>
  <c r="H11" i="14"/>
  <c r="G11" i="14"/>
  <c r="F11" i="14"/>
  <c r="E11" i="14"/>
  <c r="D11" i="14"/>
  <c r="H9" i="14"/>
  <c r="G9" i="14"/>
  <c r="F9" i="14"/>
  <c r="E9" i="14"/>
  <c r="D9" i="14"/>
  <c r="H30" i="13"/>
  <c r="H34" i="13" s="1"/>
  <c r="G30" i="13"/>
  <c r="G34" i="13" s="1"/>
  <c r="F30" i="13"/>
  <c r="F34" i="13" s="1"/>
  <c r="E30" i="13"/>
  <c r="D30" i="13"/>
  <c r="H29" i="13"/>
  <c r="H33" i="13" s="1"/>
  <c r="G29" i="13"/>
  <c r="G33" i="13" s="1"/>
  <c r="F29" i="13"/>
  <c r="F33" i="13" s="1"/>
  <c r="E29" i="13"/>
  <c r="D29" i="13"/>
  <c r="H11" i="13"/>
  <c r="H13" i="13" s="1"/>
  <c r="H20" i="13" s="1"/>
  <c r="G11" i="13"/>
  <c r="G13" i="13" s="1"/>
  <c r="F11" i="13"/>
  <c r="F13" i="13" s="1"/>
  <c r="E11" i="13"/>
  <c r="E13" i="13" s="1"/>
  <c r="D11" i="13"/>
  <c r="D13" i="13" s="1"/>
  <c r="H9" i="13"/>
  <c r="G9" i="13"/>
  <c r="F9" i="13"/>
  <c r="E9" i="13"/>
  <c r="D9" i="13"/>
  <c r="H11" i="12"/>
  <c r="H13" i="12" s="1"/>
  <c r="G11" i="12"/>
  <c r="G13" i="12" s="1"/>
  <c r="F11" i="12"/>
  <c r="F13" i="12" s="1"/>
  <c r="E11" i="12"/>
  <c r="E13" i="12" s="1"/>
  <c r="D11" i="12"/>
  <c r="D13" i="12" s="1"/>
  <c r="H9" i="12"/>
  <c r="G9" i="12"/>
  <c r="F9" i="12"/>
  <c r="E9" i="12"/>
  <c r="D9" i="12"/>
  <c r="H30" i="12"/>
  <c r="H34" i="12" s="1"/>
  <c r="G30" i="12"/>
  <c r="G34" i="12" s="1"/>
  <c r="F30" i="12"/>
  <c r="E30" i="12"/>
  <c r="D30" i="12"/>
  <c r="H29" i="12"/>
  <c r="H33" i="12" s="1"/>
  <c r="G29" i="12"/>
  <c r="G33" i="12" s="1"/>
  <c r="F29" i="12"/>
  <c r="E29" i="12"/>
  <c r="D29" i="12"/>
  <c r="F13" i="14" l="1"/>
  <c r="F22" i="14" s="1"/>
  <c r="E13" i="15"/>
  <c r="H13" i="14"/>
  <c r="H22" i="14" s="1"/>
  <c r="D13" i="14"/>
  <c r="D22" i="14" s="1"/>
  <c r="H21" i="15"/>
  <c r="H22" i="15"/>
  <c r="F13" i="15"/>
  <c r="F24" i="15" s="1"/>
  <c r="D22" i="15"/>
  <c r="D21" i="15"/>
  <c r="E22" i="15"/>
  <c r="E35" i="15" s="1"/>
  <c r="E21" i="15"/>
  <c r="E34" i="15" s="1"/>
  <c r="F22" i="15"/>
  <c r="F35" i="15" s="1"/>
  <c r="F21" i="15"/>
  <c r="F34" i="15" s="1"/>
  <c r="G22" i="15"/>
  <c r="H13" i="15"/>
  <c r="H24" i="15" s="1"/>
  <c r="G13" i="15"/>
  <c r="G23" i="15" s="1"/>
  <c r="D13" i="15"/>
  <c r="E24" i="15"/>
  <c r="E23" i="15"/>
  <c r="G13" i="14"/>
  <c r="G21" i="14" s="1"/>
  <c r="G34" i="14" s="1"/>
  <c r="E13" i="14"/>
  <c r="E20" i="14" s="1"/>
  <c r="E33" i="14" s="1"/>
  <c r="F20" i="14"/>
  <c r="F33" i="14" s="1"/>
  <c r="F21" i="14"/>
  <c r="F34" i="14" s="1"/>
  <c r="D23" i="14"/>
  <c r="H21" i="13"/>
  <c r="H22" i="13"/>
  <c r="H23" i="13"/>
  <c r="D23" i="13"/>
  <c r="D21" i="13"/>
  <c r="D34" i="13" s="1"/>
  <c r="D20" i="13"/>
  <c r="D33" i="13" s="1"/>
  <c r="D22" i="13"/>
  <c r="G22" i="13"/>
  <c r="G20" i="13"/>
  <c r="G23" i="13"/>
  <c r="G21" i="13"/>
  <c r="E21" i="13"/>
  <c r="E34" i="13" s="1"/>
  <c r="E22" i="13"/>
  <c r="E20" i="13"/>
  <c r="E33" i="13" s="1"/>
  <c r="E23" i="13"/>
  <c r="F21" i="13"/>
  <c r="F22" i="13"/>
  <c r="F20" i="13"/>
  <c r="F23" i="13"/>
  <c r="D23" i="12"/>
  <c r="D21" i="12"/>
  <c r="D34" i="12" s="1"/>
  <c r="D22" i="12"/>
  <c r="D20" i="12"/>
  <c r="D33" i="12" s="1"/>
  <c r="H22" i="12"/>
  <c r="H20" i="12"/>
  <c r="H23" i="12"/>
  <c r="H21" i="12"/>
  <c r="F21" i="12"/>
  <c r="F34" i="12" s="1"/>
  <c r="F22" i="12"/>
  <c r="F20" i="12"/>
  <c r="F33" i="12" s="1"/>
  <c r="F23" i="12"/>
  <c r="G22" i="12"/>
  <c r="G20" i="12"/>
  <c r="G21" i="12"/>
  <c r="G23" i="12"/>
  <c r="E21" i="12"/>
  <c r="E34" i="12" s="1"/>
  <c r="E22" i="12"/>
  <c r="E20" i="12"/>
  <c r="E33" i="12" s="1"/>
  <c r="E23" i="12"/>
  <c r="F23" i="14" l="1"/>
  <c r="D21" i="14"/>
  <c r="D34" i="14" s="1"/>
  <c r="D20" i="14" s="1"/>
  <c r="D33" i="14" s="1"/>
  <c r="H21" i="14"/>
  <c r="H34" i="14" s="1"/>
  <c r="H23" i="14"/>
  <c r="H20" i="14"/>
  <c r="H33" i="14" s="1"/>
  <c r="F23" i="15"/>
  <c r="D23" i="15"/>
  <c r="H35" i="15"/>
  <c r="H23" i="15"/>
  <c r="H34" i="15"/>
  <c r="G35" i="15"/>
  <c r="D24" i="15"/>
  <c r="D35" i="15"/>
  <c r="G24" i="15"/>
  <c r="G34" i="15"/>
  <c r="G23" i="14"/>
  <c r="G20" i="14"/>
  <c r="G33" i="14" s="1"/>
  <c r="G22" i="14"/>
  <c r="E23" i="14"/>
  <c r="E22" i="14"/>
  <c r="E21" i="14"/>
  <c r="E34" i="14" s="1"/>
  <c r="D34" i="15" l="1"/>
  <c r="H30" i="11" l="1"/>
  <c r="G30" i="11"/>
  <c r="F30" i="11"/>
  <c r="E30" i="11"/>
  <c r="D30" i="11"/>
  <c r="H29" i="11"/>
  <c r="G29" i="11"/>
  <c r="F29" i="11"/>
  <c r="E29" i="11"/>
  <c r="D29" i="11"/>
  <c r="H12" i="11"/>
  <c r="G12" i="11"/>
  <c r="F12" i="11"/>
  <c r="E12" i="11"/>
  <c r="D12" i="11"/>
  <c r="H11" i="11"/>
  <c r="G11" i="11"/>
  <c r="F11" i="11"/>
  <c r="E11" i="11"/>
  <c r="D11" i="11"/>
  <c r="H9" i="11"/>
  <c r="G9" i="11"/>
  <c r="F9" i="11"/>
  <c r="E9" i="11"/>
  <c r="D9" i="11"/>
  <c r="H30" i="10"/>
  <c r="G30" i="10"/>
  <c r="F30" i="10"/>
  <c r="E30" i="10"/>
  <c r="D30" i="10"/>
  <c r="H29" i="10"/>
  <c r="G29" i="10"/>
  <c r="F29" i="10"/>
  <c r="E29" i="10"/>
  <c r="D29" i="10"/>
  <c r="H30" i="9"/>
  <c r="G30" i="9"/>
  <c r="F30" i="9"/>
  <c r="E30" i="9"/>
  <c r="D30" i="9"/>
  <c r="H29" i="9"/>
  <c r="G29" i="9"/>
  <c r="F29" i="9"/>
  <c r="E29" i="9"/>
  <c r="D29" i="9"/>
  <c r="H12" i="10"/>
  <c r="G12" i="10"/>
  <c r="F12" i="10"/>
  <c r="E12" i="10"/>
  <c r="D12" i="10"/>
  <c r="H11" i="10"/>
  <c r="G11" i="10"/>
  <c r="F11" i="10"/>
  <c r="E11" i="10"/>
  <c r="D11" i="10"/>
  <c r="H9" i="10"/>
  <c r="G9" i="10"/>
  <c r="F9" i="10"/>
  <c r="E9" i="10"/>
  <c r="D9" i="10"/>
  <c r="H30" i="8"/>
  <c r="G30" i="8"/>
  <c r="F30" i="8"/>
  <c r="E30" i="8"/>
  <c r="G29" i="8"/>
  <c r="H29" i="8"/>
  <c r="F29" i="8"/>
  <c r="E29" i="8"/>
  <c r="D30" i="8"/>
  <c r="D29" i="8"/>
  <c r="H12" i="9"/>
  <c r="G12" i="9"/>
  <c r="F12" i="9"/>
  <c r="E12" i="9"/>
  <c r="D12" i="9"/>
  <c r="H11" i="9"/>
  <c r="G11" i="9"/>
  <c r="F11" i="9"/>
  <c r="F13" i="9" s="1"/>
  <c r="E11" i="9"/>
  <c r="D11" i="9"/>
  <c r="H9" i="9"/>
  <c r="G9" i="9"/>
  <c r="F9" i="9"/>
  <c r="E9" i="9"/>
  <c r="D9" i="9"/>
  <c r="H12" i="8"/>
  <c r="G12" i="8"/>
  <c r="F12" i="8"/>
  <c r="E12" i="8"/>
  <c r="D12" i="8"/>
  <c r="H11" i="8"/>
  <c r="G11" i="8"/>
  <c r="F11" i="8"/>
  <c r="E11" i="8"/>
  <c r="D11" i="8"/>
  <c r="H9" i="8"/>
  <c r="G9" i="8"/>
  <c r="F9" i="8"/>
  <c r="E9" i="8"/>
  <c r="D9" i="8"/>
  <c r="E13" i="11" l="1"/>
  <c r="E23" i="11" s="1"/>
  <c r="E34" i="11" s="1"/>
  <c r="G13" i="11"/>
  <c r="G23" i="11" s="1"/>
  <c r="H13" i="10"/>
  <c r="H21" i="10" s="1"/>
  <c r="H34" i="10" s="1"/>
  <c r="D13" i="11"/>
  <c r="D23" i="11" s="1"/>
  <c r="D34" i="11" s="1"/>
  <c r="H13" i="8"/>
  <c r="H23" i="8" s="1"/>
  <c r="D13" i="8"/>
  <c r="D22" i="8" s="1"/>
  <c r="D33" i="8" s="1"/>
  <c r="D13" i="10"/>
  <c r="D21" i="10" s="1"/>
  <c r="H13" i="11"/>
  <c r="H22" i="11" s="1"/>
  <c r="D13" i="9"/>
  <c r="D20" i="9" s="1"/>
  <c r="G13" i="9"/>
  <c r="G23" i="9" s="1"/>
  <c r="F13" i="11"/>
  <c r="F21" i="11" s="1"/>
  <c r="E13" i="8"/>
  <c r="E21" i="8" s="1"/>
  <c r="F13" i="8"/>
  <c r="F22" i="8" s="1"/>
  <c r="F33" i="8" s="1"/>
  <c r="G13" i="8"/>
  <c r="G23" i="8" s="1"/>
  <c r="E13" i="9"/>
  <c r="E23" i="9" s="1"/>
  <c r="E34" i="9" s="1"/>
  <c r="H13" i="9"/>
  <c r="H20" i="9" s="1"/>
  <c r="H33" i="9" s="1"/>
  <c r="E21" i="11"/>
  <c r="E20" i="11"/>
  <c r="D21" i="11"/>
  <c r="D22" i="11"/>
  <c r="D33" i="11" s="1"/>
  <c r="D20" i="11"/>
  <c r="G22" i="11"/>
  <c r="G20" i="11"/>
  <c r="G33" i="11" s="1"/>
  <c r="G13" i="10"/>
  <c r="G20" i="10" s="1"/>
  <c r="G33" i="10" s="1"/>
  <c r="F13" i="10"/>
  <c r="F22" i="10" s="1"/>
  <c r="F33" i="10" s="1"/>
  <c r="E13" i="10"/>
  <c r="E23" i="10" s="1"/>
  <c r="E34" i="10" s="1"/>
  <c r="F21" i="9"/>
  <c r="F22" i="9"/>
  <c r="F33" i="9" s="1"/>
  <c r="F20" i="9"/>
  <c r="F23" i="9"/>
  <c r="F34" i="9" s="1"/>
  <c r="E22" i="8"/>
  <c r="E33" i="8" s="1"/>
  <c r="G21" i="8" l="1"/>
  <c r="G34" i="8" s="1"/>
  <c r="D20" i="8"/>
  <c r="D21" i="8"/>
  <c r="D23" i="8"/>
  <c r="D34" i="8" s="1"/>
  <c r="E20" i="8"/>
  <c r="E22" i="11"/>
  <c r="E33" i="11" s="1"/>
  <c r="D23" i="10"/>
  <c r="D34" i="10" s="1"/>
  <c r="D20" i="10"/>
  <c r="D22" i="10"/>
  <c r="D33" i="10" s="1"/>
  <c r="F23" i="11"/>
  <c r="F34" i="11" s="1"/>
  <c r="G21" i="11"/>
  <c r="G34" i="11" s="1"/>
  <c r="E22" i="9"/>
  <c r="E33" i="9" s="1"/>
  <c r="H22" i="8"/>
  <c r="D22" i="9"/>
  <c r="D33" i="9" s="1"/>
  <c r="D21" i="9"/>
  <c r="H22" i="9"/>
  <c r="H20" i="11"/>
  <c r="H33" i="11" s="1"/>
  <c r="H21" i="11"/>
  <c r="H34" i="11" s="1"/>
  <c r="H21" i="8"/>
  <c r="H34" i="8" s="1"/>
  <c r="G21" i="9"/>
  <c r="G34" i="9" s="1"/>
  <c r="H20" i="8"/>
  <c r="H33" i="8" s="1"/>
  <c r="G22" i="9"/>
  <c r="F20" i="11"/>
  <c r="H22" i="10"/>
  <c r="H23" i="11"/>
  <c r="F22" i="11"/>
  <c r="F33" i="11" s="1"/>
  <c r="H20" i="10"/>
  <c r="H33" i="10" s="1"/>
  <c r="H23" i="10"/>
  <c r="G20" i="9"/>
  <c r="G33" i="9" s="1"/>
  <c r="F21" i="8"/>
  <c r="E23" i="8"/>
  <c r="E34" i="8" s="1"/>
  <c r="G20" i="8"/>
  <c r="G33" i="8" s="1"/>
  <c r="F21" i="10"/>
  <c r="E21" i="9"/>
  <c r="G22" i="8"/>
  <c r="D23" i="9"/>
  <c r="D34" i="9" s="1"/>
  <c r="F20" i="8"/>
  <c r="E20" i="9"/>
  <c r="F23" i="8"/>
  <c r="F34" i="8" s="1"/>
  <c r="F23" i="10"/>
  <c r="F34" i="10" s="1"/>
  <c r="H21" i="9"/>
  <c r="H34" i="9" s="1"/>
  <c r="H23" i="9"/>
  <c r="G22" i="10"/>
  <c r="G21" i="10"/>
  <c r="G34" i="10" s="1"/>
  <c r="G23" i="10"/>
  <c r="F20" i="10"/>
  <c r="E21" i="10"/>
  <c r="E22" i="10"/>
  <c r="E33" i="10" s="1"/>
  <c r="E20" i="10"/>
  <c r="E30" i="7" l="1"/>
  <c r="F30" i="7"/>
  <c r="G30" i="7"/>
  <c r="H30" i="7"/>
  <c r="E29" i="7"/>
  <c r="F29" i="7"/>
  <c r="G29" i="7"/>
  <c r="H29" i="7"/>
  <c r="D30" i="7"/>
  <c r="D29" i="7"/>
  <c r="H12" i="7"/>
  <c r="G12" i="7"/>
  <c r="F12" i="7"/>
  <c r="E12" i="7"/>
  <c r="D12" i="7"/>
  <c r="H11" i="7"/>
  <c r="G11" i="7"/>
  <c r="F11" i="7"/>
  <c r="E11" i="7"/>
  <c r="D11" i="7"/>
  <c r="H9" i="7"/>
  <c r="G9" i="7"/>
  <c r="F9" i="7"/>
  <c r="D9" i="7"/>
  <c r="E9" i="7"/>
  <c r="H26" i="7"/>
  <c r="G26" i="7"/>
  <c r="F26" i="7"/>
  <c r="E26" i="7"/>
  <c r="D26" i="7"/>
  <c r="I30" i="6"/>
  <c r="H30" i="6"/>
  <c r="G30" i="6"/>
  <c r="F30" i="6"/>
  <c r="E30" i="6"/>
  <c r="I29" i="6"/>
  <c r="H29" i="6"/>
  <c r="G29" i="6"/>
  <c r="F29" i="6"/>
  <c r="E29" i="6"/>
  <c r="I11" i="6"/>
  <c r="I13" i="6" s="1"/>
  <c r="H11" i="6"/>
  <c r="H13" i="6" s="1"/>
  <c r="G11" i="6"/>
  <c r="G13" i="6" s="1"/>
  <c r="F11" i="6"/>
  <c r="F13" i="6" s="1"/>
  <c r="E11" i="6"/>
  <c r="E13" i="6" s="1"/>
  <c r="I9" i="6"/>
  <c r="H9" i="6"/>
  <c r="G9" i="6"/>
  <c r="F9" i="6"/>
  <c r="E9" i="6"/>
  <c r="I9" i="5"/>
  <c r="H9" i="5"/>
  <c r="G9" i="5"/>
  <c r="F9" i="5"/>
  <c r="E9" i="5"/>
  <c r="I26" i="6"/>
  <c r="H26" i="6"/>
  <c r="G26" i="6"/>
  <c r="F26" i="6"/>
  <c r="E26" i="6"/>
  <c r="I26" i="5"/>
  <c r="H26" i="5"/>
  <c r="G26" i="5"/>
  <c r="F26" i="5"/>
  <c r="E26" i="5"/>
  <c r="I11" i="5"/>
  <c r="H11" i="5"/>
  <c r="G11" i="5"/>
  <c r="F11" i="5"/>
  <c r="E11" i="5"/>
  <c r="I12" i="5"/>
  <c r="H12" i="5"/>
  <c r="G12" i="5"/>
  <c r="F12" i="5"/>
  <c r="E12" i="5"/>
  <c r="I30" i="5"/>
  <c r="H30" i="5"/>
  <c r="G30" i="5"/>
  <c r="F30" i="5"/>
  <c r="E30" i="5"/>
  <c r="I29" i="5"/>
  <c r="H29" i="5"/>
  <c r="G29" i="5"/>
  <c r="F29" i="5"/>
  <c r="E29" i="5"/>
  <c r="H26" i="4"/>
  <c r="G26" i="4"/>
  <c r="F26" i="4"/>
  <c r="E26" i="4"/>
  <c r="D26" i="4"/>
  <c r="H11" i="4"/>
  <c r="H13" i="4" s="1"/>
  <c r="G11" i="4"/>
  <c r="G13" i="4" s="1"/>
  <c r="F11" i="4"/>
  <c r="F13" i="4" s="1"/>
  <c r="E11" i="4"/>
  <c r="E13" i="4" s="1"/>
  <c r="D11" i="4"/>
  <c r="D13" i="4" s="1"/>
  <c r="H9" i="4"/>
  <c r="G9" i="4"/>
  <c r="F9" i="4"/>
  <c r="E9" i="4"/>
  <c r="D9" i="4"/>
  <c r="H30" i="4"/>
  <c r="G30" i="4"/>
  <c r="F30" i="4"/>
  <c r="E30" i="4"/>
  <c r="D30" i="4"/>
  <c r="H29" i="4"/>
  <c r="G29" i="4"/>
  <c r="F29" i="4"/>
  <c r="E29" i="4"/>
  <c r="D29" i="4"/>
  <c r="H13" i="7" l="1"/>
  <c r="H20" i="7" s="1"/>
  <c r="H33" i="7" s="1"/>
  <c r="E13" i="7"/>
  <c r="E22" i="7" s="1"/>
  <c r="E33" i="7" s="1"/>
  <c r="G13" i="7"/>
  <c r="G20" i="7" s="1"/>
  <c r="G33" i="7" s="1"/>
  <c r="F13" i="7"/>
  <c r="F22" i="7" s="1"/>
  <c r="F33" i="7" s="1"/>
  <c r="I13" i="5"/>
  <c r="D13" i="7"/>
  <c r="D23" i="7" s="1"/>
  <c r="D34" i="7" s="1"/>
  <c r="H22" i="7"/>
  <c r="G22" i="7"/>
  <c r="H21" i="7"/>
  <c r="H34" i="7" s="1"/>
  <c r="H23" i="7"/>
  <c r="F22" i="6"/>
  <c r="F21" i="6"/>
  <c r="F34" i="6" s="1"/>
  <c r="F20" i="6"/>
  <c r="F33" i="6" s="1"/>
  <c r="F23" i="6"/>
  <c r="I20" i="6"/>
  <c r="I33" i="6" s="1"/>
  <c r="I22" i="6"/>
  <c r="I23" i="6"/>
  <c r="I21" i="6"/>
  <c r="I34" i="6" s="1"/>
  <c r="G22" i="6"/>
  <c r="G20" i="6"/>
  <c r="G33" i="6" s="1"/>
  <c r="G21" i="6"/>
  <c r="G34" i="6" s="1"/>
  <c r="G23" i="6"/>
  <c r="H20" i="6"/>
  <c r="H33" i="6" s="1"/>
  <c r="H23" i="6"/>
  <c r="H21" i="6"/>
  <c r="H34" i="6" s="1"/>
  <c r="H22" i="6"/>
  <c r="E22" i="6"/>
  <c r="E20" i="6"/>
  <c r="E33" i="6" s="1"/>
  <c r="E21" i="6"/>
  <c r="E34" i="6" s="1"/>
  <c r="E23" i="6"/>
  <c r="H13" i="5"/>
  <c r="G13" i="5"/>
  <c r="F13" i="5"/>
  <c r="E13" i="5"/>
  <c r="G23" i="4"/>
  <c r="G34" i="4" s="1"/>
  <c r="G22" i="4"/>
  <c r="G33" i="4" s="1"/>
  <c r="F23" i="4"/>
  <c r="F34" i="4" s="1"/>
  <c r="F22" i="4"/>
  <c r="F33" i="4" s="1"/>
  <c r="H23" i="4"/>
  <c r="H34" i="4" s="1"/>
  <c r="H22" i="4"/>
  <c r="H33" i="4" s="1"/>
  <c r="G23" i="7" l="1"/>
  <c r="E23" i="7"/>
  <c r="E34" i="7" s="1"/>
  <c r="E21" i="7"/>
  <c r="G21" i="7"/>
  <c r="G34" i="7" s="1"/>
  <c r="E20" i="7"/>
  <c r="D20" i="7"/>
  <c r="F20" i="7"/>
  <c r="F23" i="7"/>
  <c r="F34" i="7" s="1"/>
  <c r="F21" i="7"/>
  <c r="D22" i="7"/>
  <c r="D33" i="7" s="1"/>
  <c r="H22" i="5"/>
  <c r="H33" i="5" s="1"/>
  <c r="H23" i="5"/>
  <c r="H34" i="5" s="1"/>
  <c r="F23" i="5"/>
  <c r="F22" i="5"/>
  <c r="D21" i="7"/>
  <c r="I22" i="5"/>
  <c r="I33" i="5" s="1"/>
  <c r="I23" i="5"/>
  <c r="I34" i="5" s="1"/>
  <c r="E23" i="5"/>
  <c r="E22" i="5"/>
  <c r="G23" i="5"/>
  <c r="G34" i="5" s="1"/>
  <c r="G22" i="5"/>
  <c r="G33" i="5" s="1"/>
  <c r="H26" i="3" l="1"/>
  <c r="G26" i="3"/>
  <c r="F26" i="3"/>
  <c r="E26" i="3"/>
  <c r="D26" i="3"/>
  <c r="H12" i="3"/>
  <c r="G12" i="3"/>
  <c r="F12" i="3"/>
  <c r="E12" i="3"/>
  <c r="D12" i="3"/>
  <c r="H11" i="3"/>
  <c r="G11" i="3"/>
  <c r="F11" i="3"/>
  <c r="E11" i="3"/>
  <c r="D11" i="3"/>
  <c r="H30" i="3"/>
  <c r="G30" i="3"/>
  <c r="F30" i="3"/>
  <c r="E30" i="3"/>
  <c r="D30" i="3"/>
  <c r="H29" i="3"/>
  <c r="G29" i="3"/>
  <c r="F29" i="3"/>
  <c r="E29" i="3"/>
  <c r="D29" i="3"/>
  <c r="H9" i="3"/>
  <c r="G9" i="3"/>
  <c r="F9" i="3"/>
  <c r="E9" i="3"/>
  <c r="D9" i="3"/>
  <c r="G13" i="3" l="1"/>
  <c r="E13" i="3"/>
  <c r="D13" i="3"/>
  <c r="H13" i="3"/>
  <c r="F13" i="3"/>
  <c r="H28" i="2"/>
  <c r="G28" i="2"/>
  <c r="F28" i="2"/>
  <c r="E28" i="2"/>
  <c r="D28" i="2"/>
  <c r="H32" i="2"/>
  <c r="G32" i="2"/>
  <c r="F32" i="2"/>
  <c r="E32" i="2"/>
  <c r="D32" i="2"/>
  <c r="H31" i="2"/>
  <c r="G31" i="2"/>
  <c r="F31" i="2"/>
  <c r="E31" i="2"/>
  <c r="D31" i="2"/>
  <c r="H12" i="2"/>
  <c r="G12" i="2"/>
  <c r="F12" i="2"/>
  <c r="E12" i="2"/>
  <c r="D12" i="2"/>
  <c r="H11" i="2"/>
  <c r="G11" i="2"/>
  <c r="F11" i="2"/>
  <c r="E11" i="2"/>
  <c r="D11" i="2"/>
  <c r="H9" i="2"/>
  <c r="H20" i="2" s="1"/>
  <c r="G9" i="2"/>
  <c r="G20" i="2" s="1"/>
  <c r="F9" i="2"/>
  <c r="F21" i="2" s="1"/>
  <c r="E9" i="2"/>
  <c r="E20" i="2" s="1"/>
  <c r="D9" i="2"/>
  <c r="D20" i="2" s="1"/>
  <c r="H22" i="3" l="1"/>
  <c r="H33" i="3" s="1"/>
  <c r="H23" i="3"/>
  <c r="H34" i="3" s="1"/>
  <c r="F23" i="3"/>
  <c r="F34" i="3" s="1"/>
  <c r="F22" i="3"/>
  <c r="F33" i="3" s="1"/>
  <c r="G23" i="3"/>
  <c r="G34" i="3" s="1"/>
  <c r="G22" i="3"/>
  <c r="G33" i="3" s="1"/>
  <c r="H13" i="2"/>
  <c r="H21" i="2"/>
  <c r="E21" i="2"/>
  <c r="G21" i="2"/>
  <c r="D21" i="2"/>
  <c r="F20" i="2"/>
  <c r="F13" i="2"/>
  <c r="D13" i="2"/>
  <c r="E13" i="2"/>
  <c r="G13" i="2"/>
  <c r="F25" i="2" l="1"/>
  <c r="F36" i="2" s="1"/>
  <c r="F24" i="2"/>
  <c r="F35" i="2" s="1"/>
  <c r="G25" i="2"/>
  <c r="G36" i="2" s="1"/>
  <c r="G24" i="2"/>
  <c r="G35" i="2" s="1"/>
  <c r="H24" i="2"/>
  <c r="H35" i="2" s="1"/>
  <c r="H25" i="2"/>
  <c r="H36" i="2" s="1"/>
  <c r="H33" i="1"/>
  <c r="G33" i="1"/>
  <c r="F33" i="1"/>
  <c r="E33" i="1"/>
  <c r="D33" i="1"/>
  <c r="H32" i="1"/>
  <c r="G32" i="1"/>
  <c r="F32" i="1"/>
  <c r="E32" i="1"/>
  <c r="D32" i="1"/>
  <c r="E17" i="1"/>
  <c r="E17" i="2" s="1"/>
  <c r="E25" i="2" s="1"/>
  <c r="E36" i="2" s="1"/>
  <c r="F17" i="1"/>
  <c r="F17" i="2" s="1"/>
  <c r="G17" i="1"/>
  <c r="G17" i="2" s="1"/>
  <c r="H17" i="1"/>
  <c r="H17" i="2" s="1"/>
  <c r="D17" i="1"/>
  <c r="D17" i="2" s="1"/>
  <c r="E16" i="1"/>
  <c r="E16" i="2" s="1"/>
  <c r="F16" i="1"/>
  <c r="F16" i="2" s="1"/>
  <c r="G16" i="1"/>
  <c r="G16" i="2" s="1"/>
  <c r="H16" i="1"/>
  <c r="H16" i="2" s="1"/>
  <c r="D16" i="1"/>
  <c r="D16" i="2" s="1"/>
  <c r="H11" i="1"/>
  <c r="G11" i="1"/>
  <c r="F11" i="1"/>
  <c r="E11" i="1"/>
  <c r="D11" i="1"/>
  <c r="H12" i="1"/>
  <c r="H27" i="1" s="1"/>
  <c r="G12" i="1"/>
  <c r="G27" i="1" s="1"/>
  <c r="F12" i="1"/>
  <c r="F27" i="1" s="1"/>
  <c r="E12" i="1"/>
  <c r="E26" i="1" s="1"/>
  <c r="D12" i="1"/>
  <c r="D26" i="1" s="1"/>
  <c r="D25" i="2" l="1"/>
  <c r="D36" i="2" s="1"/>
  <c r="D19" i="4"/>
  <c r="D21" i="4" s="1"/>
  <c r="D23" i="4" s="1"/>
  <c r="D34" i="4" s="1"/>
  <c r="H19" i="4"/>
  <c r="H21" i="4" s="1"/>
  <c r="H19" i="5"/>
  <c r="F18" i="5"/>
  <c r="F20" i="5" s="1"/>
  <c r="F33" i="5" s="1"/>
  <c r="F18" i="4"/>
  <c r="F20" i="4" s="1"/>
  <c r="E24" i="2"/>
  <c r="E35" i="2" s="1"/>
  <c r="E18" i="4"/>
  <c r="E20" i="4" s="1"/>
  <c r="E22" i="4" s="1"/>
  <c r="E33" i="4" s="1"/>
  <c r="E18" i="5"/>
  <c r="E20" i="5" s="1"/>
  <c r="E33" i="5" s="1"/>
  <c r="G19" i="5"/>
  <c r="G21" i="5" s="1"/>
  <c r="G19" i="4"/>
  <c r="G21" i="4" s="1"/>
  <c r="F19" i="5"/>
  <c r="F21" i="5" s="1"/>
  <c r="F34" i="5" s="1"/>
  <c r="F19" i="4"/>
  <c r="F21" i="4" s="1"/>
  <c r="H18" i="5"/>
  <c r="H18" i="4"/>
  <c r="H20" i="4" s="1"/>
  <c r="D24" i="2"/>
  <c r="D35" i="2" s="1"/>
  <c r="D18" i="4"/>
  <c r="D20" i="4" s="1"/>
  <c r="D22" i="4" s="1"/>
  <c r="D33" i="4" s="1"/>
  <c r="E19" i="5"/>
  <c r="E21" i="5" s="1"/>
  <c r="E34" i="5" s="1"/>
  <c r="E19" i="4"/>
  <c r="E21" i="4" s="1"/>
  <c r="E23" i="4" s="1"/>
  <c r="E34" i="4" s="1"/>
  <c r="G18" i="5"/>
  <c r="G20" i="5" s="1"/>
  <c r="G18" i="4"/>
  <c r="G20" i="4" s="1"/>
  <c r="D19" i="2"/>
  <c r="D19" i="3"/>
  <c r="D23" i="2"/>
  <c r="H18" i="2"/>
  <c r="H18" i="3"/>
  <c r="H22" i="2"/>
  <c r="E19" i="2"/>
  <c r="E19" i="3"/>
  <c r="E23" i="2"/>
  <c r="G18" i="2"/>
  <c r="G18" i="3"/>
  <c r="G22" i="2"/>
  <c r="F18" i="2"/>
  <c r="F18" i="3"/>
  <c r="F22" i="2"/>
  <c r="E18" i="2"/>
  <c r="E18" i="3"/>
  <c r="E22" i="2"/>
  <c r="H19" i="2"/>
  <c r="H19" i="3"/>
  <c r="H23" i="2"/>
  <c r="G19" i="2"/>
  <c r="G19" i="3"/>
  <c r="G23" i="2"/>
  <c r="D18" i="2"/>
  <c r="D18" i="3"/>
  <c r="D22" i="2"/>
  <c r="F19" i="2"/>
  <c r="F19" i="3"/>
  <c r="F23" i="2"/>
  <c r="E22" i="1"/>
  <c r="E36" i="1" s="1"/>
  <c r="E23" i="1"/>
  <c r="F23" i="1"/>
  <c r="F37" i="1" s="1"/>
  <c r="F22" i="1"/>
  <c r="G23" i="1"/>
  <c r="G37" i="1" s="1"/>
  <c r="G22" i="1"/>
  <c r="H22" i="1"/>
  <c r="H23" i="1"/>
  <c r="H37" i="1" s="1"/>
  <c r="D23" i="1"/>
  <c r="D22" i="1"/>
  <c r="D36" i="1" s="1"/>
  <c r="E27" i="1"/>
  <c r="D27" i="1"/>
  <c r="H26" i="1"/>
  <c r="F26" i="1"/>
  <c r="G26" i="1"/>
  <c r="D13" i="1"/>
  <c r="H13" i="1"/>
  <c r="F13" i="1"/>
  <c r="G13" i="1"/>
  <c r="E13" i="1"/>
  <c r="H9" i="1"/>
  <c r="G9" i="1"/>
  <c r="F9" i="1"/>
  <c r="E9" i="1"/>
  <c r="D9" i="1"/>
  <c r="J13" i="1" l="1"/>
  <c r="E37" i="1"/>
  <c r="I18" i="5"/>
  <c r="I20" i="5" s="1"/>
  <c r="H20" i="5"/>
  <c r="D37" i="1"/>
  <c r="I19" i="5"/>
  <c r="I21" i="5" s="1"/>
  <c r="H21" i="5"/>
  <c r="H36" i="1"/>
  <c r="F28" i="1"/>
  <c r="E21" i="3"/>
  <c r="E23" i="3" s="1"/>
  <c r="E34" i="3" s="1"/>
  <c r="G21" i="3"/>
  <c r="F20" i="3"/>
  <c r="F21" i="3"/>
  <c r="H20" i="3"/>
  <c r="F29" i="1"/>
  <c r="G36" i="1"/>
  <c r="H21" i="3"/>
  <c r="E20" i="3"/>
  <c r="E22" i="3" s="1"/>
  <c r="E33" i="3" s="1"/>
  <c r="E29" i="1"/>
  <c r="G20" i="3"/>
  <c r="D28" i="1"/>
  <c r="F36" i="1"/>
  <c r="D20" i="3"/>
  <c r="D21" i="3"/>
  <c r="D21" i="1"/>
  <c r="H29" i="1"/>
  <c r="H28" i="1"/>
  <c r="G29" i="1"/>
  <c r="E28" i="1"/>
  <c r="D29" i="1"/>
  <c r="G28" i="1"/>
  <c r="F20" i="1"/>
  <c r="F21" i="1"/>
  <c r="G20" i="1"/>
  <c r="G21" i="1"/>
  <c r="E20" i="1"/>
  <c r="E21" i="1"/>
  <c r="H20" i="1"/>
  <c r="H21" i="1"/>
  <c r="D20" i="1"/>
  <c r="D23" i="3" l="1"/>
  <c r="D34" i="3" s="1"/>
  <c r="D22" i="3"/>
  <c r="D33" i="3" s="1"/>
</calcChain>
</file>

<file path=xl/sharedStrings.xml><?xml version="1.0" encoding="utf-8"?>
<sst xmlns="http://schemas.openxmlformats.org/spreadsheetml/2006/main" count="1317" uniqueCount="275">
  <si>
    <t>PROYECCION REAL DE CARGAS DE DBO5 Y SST PARA LOS MUNICIPIOS DE LA JURISDICCION DE LA CRA BAJO ESQUEMA DE OPERACIÓN DE LA TRIPLE A</t>
  </si>
  <si>
    <t>MUNICIPIO/ OPERADOR</t>
  </si>
  <si>
    <t>Cobertura alcantarillado urbano- %</t>
  </si>
  <si>
    <t>Eficiencia  STAR-%</t>
  </si>
  <si>
    <t>Valores/año</t>
  </si>
  <si>
    <t>PROGRAMA INSTITUCIONAL DE TASA RETRIBUTIVA POR DESCARGAS PUNTUALES</t>
  </si>
  <si>
    <t>CORPORACION AUTONOMA REGIONAL DEL ATLANTICO -CRA</t>
  </si>
  <si>
    <t>EVALUACION DE PROPUESTAS DE AJUSTES DE METAS DEFINIDAS EN ACUERDO 006 DE 2020 SUSTENTADAS  BAJO RESOLUCION 0206 DE 2021 PARA ADECUAR METAS A LA CRISIS DE LA PANDEMIA POR COVID 19</t>
  </si>
  <si>
    <t>Zona urbana de Barranquilla</t>
  </si>
  <si>
    <t>Carga DOMESTICA  percapita - DBO5 ( KG/H-D)</t>
  </si>
  <si>
    <t>Carga DOMESTICA percapita - SST ( KG/H-D)</t>
  </si>
  <si>
    <t>Base RAS 2000</t>
  </si>
  <si>
    <t>Base RAS 2001</t>
  </si>
  <si>
    <t>Metas de puntos de vertimiento recomendadas</t>
  </si>
  <si>
    <t>Caudal total concesionado (L/s)</t>
  </si>
  <si>
    <t>Carga industrial (ARnD) conectada a la red kg/año -DBO5</t>
  </si>
  <si>
    <t>Carga industrial (ARnD) conectada a la red kg/año -SST</t>
  </si>
  <si>
    <t>(DBO5)-mg/L- DOMESTICA (1)</t>
  </si>
  <si>
    <t>Presuntivo RAS ( RES 330 DE 2017)- (1)</t>
  </si>
  <si>
    <t>(DBO5)-mg/L- DOMESTICA (2)</t>
  </si>
  <si>
    <t>(SST)-mg/L-DOMESTICA (1)</t>
  </si>
  <si>
    <t>(SST)-mg/L-DOMESTICA (2)</t>
  </si>
  <si>
    <t>Promedios de mediciones de la TRIPLEA recientes</t>
  </si>
  <si>
    <t>Presuntivo nacional</t>
  </si>
  <si>
    <t>MID LOCAL</t>
  </si>
  <si>
    <t>PERCAPITA NACIONAL</t>
  </si>
  <si>
    <t>Carga DOMESTICA TOTAL (ARD) conectada a la red kg/año -DBO5</t>
  </si>
  <si>
    <t>Carga DOMESTICA TOTAL (ARD) conectada a la red kg/año -SST</t>
  </si>
  <si>
    <t>(DBO5)-mg/L- NO DOMESTICA (1)</t>
  </si>
  <si>
    <t>Se asume que las industrias conectadas responden por estos valores</t>
  </si>
  <si>
    <t>(SST) -mg/L NO DOMESTICA</t>
  </si>
  <si>
    <t>Indica que entre el 6 y 7 % de la carga total de SST  es de aporte no domestico</t>
  </si>
  <si>
    <t>Carga TOTAL  conectada a la red kg/año -DBO5</t>
  </si>
  <si>
    <t>Carga TOTAL conectada a la red kg/año -SST</t>
  </si>
  <si>
    <t xml:space="preserve"> CHEQUEO CON PERCAPITA NACIONAL DE DBO5</t>
  </si>
  <si>
    <t xml:space="preserve"> CHEQUEO CON PERCAPITA NACIONAL DE SST</t>
  </si>
  <si>
    <t>Indica que el 5 % de la carga total de DBO5  es de aporte no domestico</t>
  </si>
  <si>
    <t>Carga DOMESTICA TOTAL  conectada a la red kg/año -DBO5</t>
  </si>
  <si>
    <t>Carga DOMESTICA TOTAL conectada a la red kg/año -SST</t>
  </si>
  <si>
    <t>Caudal DOMESTICO TOTAL reportado por operador /L/s)</t>
  </si>
  <si>
    <t>Caudal NO DOMESTICO  reportado ( ARnD)-L/S</t>
  </si>
  <si>
    <t>Zona urbana de Sabanagrande</t>
  </si>
  <si>
    <t>Consumo TOTAL (L/s)</t>
  </si>
  <si>
    <t>Eficiencia  STAR PARA DBO5-%</t>
  </si>
  <si>
    <t>Eficiencia  STAR PARA SST-%</t>
  </si>
  <si>
    <t>(DBO5)-mg/L- DOMESTICA SIN TRTAMIENTO (2)</t>
  </si>
  <si>
    <t>(SST)-mg/L-DOMESTICA SIN TRTAMIENTO (2)</t>
  </si>
  <si>
    <t>DBO5 real calculada descontando eficiencias</t>
  </si>
  <si>
    <t>SST real calculada descontando eficiencias</t>
  </si>
  <si>
    <t>Si la eficiencia reportada es cierta, estas deben ser las concentraciones mas aproximadas que debe estar reportan hoy el STAR para DBO5 y SST</t>
  </si>
  <si>
    <t>NR</t>
  </si>
  <si>
    <t>Reportes TRIPLE A</t>
  </si>
  <si>
    <t>Reporte TRIPLE A propuesta de ajuste de metas</t>
  </si>
  <si>
    <t>NOTAS DE EVALUACION TECNICA</t>
  </si>
  <si>
    <t>Zona urbana de Santo Tomás</t>
  </si>
  <si>
    <t>Reportes utimos de TRIPLE A</t>
  </si>
  <si>
    <t>Suma de caudales</t>
  </si>
  <si>
    <t>(DBO5)-mg/L- DOMESTICA SIN TRATAMIENTO (2)</t>
  </si>
  <si>
    <t>Presuntivo utilizado sobre RAS</t>
  </si>
  <si>
    <t>Valor mas cercano al posible</t>
  </si>
  <si>
    <t>(SST)-mg/L-DOMESTICA SIN TRATAMIENTO (2)</t>
  </si>
  <si>
    <t>Datos regionales con base en estudios de la ciudad de Barranquilla (Triple A 2019)</t>
  </si>
  <si>
    <t>(DBO5)-mg/L- efluentes</t>
  </si>
  <si>
    <t>(SST)-mg/L-efluentes</t>
  </si>
  <si>
    <t>Usado por el usuario para proyectar cargas tratadas</t>
  </si>
  <si>
    <t>No Reporta</t>
  </si>
  <si>
    <t>No presentan</t>
  </si>
  <si>
    <t>Carga TOTAL  vertida  kg/año -DBO5</t>
  </si>
  <si>
    <t>Carga TOTAL  vertida   kg/año -SST</t>
  </si>
  <si>
    <t>Escenario 3: Es la propuesta de TRIPLE A para modificar metas del Acuerdo 006 de 2021</t>
  </si>
  <si>
    <t>Carga TOTAL  a ser vertida kg/año -DBO5</t>
  </si>
  <si>
    <t>Carga total a ser vertida kg/año -SST</t>
  </si>
  <si>
    <t>Carga  TOTAL kg/año -DBO5</t>
  </si>
  <si>
    <t>Carga total kg/año -SST</t>
  </si>
  <si>
    <r>
      <rPr>
        <b/>
        <sz val="11"/>
        <color theme="1"/>
        <rFont val="Calibri"/>
        <family val="2"/>
        <scheme val="minor"/>
      </rPr>
      <t xml:space="preserve">Escenario 1: </t>
    </r>
    <r>
      <rPr>
        <sz val="11"/>
        <color theme="1"/>
        <rFont val="Calibri"/>
        <family val="2"/>
        <scheme val="minor"/>
      </rPr>
      <t>Presuntivo con RAS ( RES 330 DE 2017)- (1)</t>
    </r>
  </si>
  <si>
    <r>
      <rPr>
        <b/>
        <sz val="11"/>
        <color theme="1"/>
        <rFont val="Calibri"/>
        <family val="2"/>
        <scheme val="minor"/>
      </rPr>
      <t>Escenario 4:</t>
    </r>
    <r>
      <rPr>
        <sz val="11"/>
        <color theme="1"/>
        <rFont val="Calibri"/>
        <family val="2"/>
        <scheme val="minor"/>
      </rPr>
      <t xml:space="preserve"> Es la propuesta de TRIPLE A para modificar metas del Acuerdo 006 de 2020</t>
    </r>
  </si>
  <si>
    <t>Presuntivo nacional RAS</t>
  </si>
  <si>
    <r>
      <rPr>
        <b/>
        <sz val="11"/>
        <color theme="1"/>
        <rFont val="Calibri"/>
        <family val="2"/>
        <scheme val="minor"/>
      </rPr>
      <t>Escenario 3:</t>
    </r>
    <r>
      <rPr>
        <sz val="11"/>
        <color theme="1"/>
        <rFont val="Calibri"/>
        <family val="2"/>
        <scheme val="minor"/>
      </rPr>
      <t xml:space="preserve"> Es la propuesta de TRIPLE A para modificar metas del Acuerdo 006 de 2021</t>
    </r>
  </si>
  <si>
    <t>Escenario calculado sobre caudales reales pero con presuntivo nacional de concentraciones de 250 mg/L para DBO5 Y SST</t>
  </si>
  <si>
    <t>Zona urbana de Palmar de Varela</t>
  </si>
  <si>
    <t>Presuntivo regional: Datos regionales con base en estudios de la ciudad de Barranquilla (Triple A 2019)</t>
  </si>
  <si>
    <t>Zona urbana de Baranoa</t>
  </si>
  <si>
    <t>No cuenta con STAR</t>
  </si>
  <si>
    <r>
      <rPr>
        <b/>
        <sz val="11"/>
        <color theme="1"/>
        <rFont val="Calibri"/>
        <family val="2"/>
        <scheme val="minor"/>
      </rPr>
      <t xml:space="preserve">Escenario 2: </t>
    </r>
    <r>
      <rPr>
        <sz val="11"/>
        <color theme="1"/>
        <rFont val="Calibri"/>
        <family val="2"/>
        <scheme val="minor"/>
      </rPr>
      <t>ESTE ESCENARIO SE FUNDAMENTA EN EL CUMPLIMIENTO DE  LIMITES PERMISIBLES DEL EMISARIO FINAL, es decir garantizando concentraciones de 90 mg/L para DBO5 y SST para el efluente de la PTAR.</t>
    </r>
  </si>
  <si>
    <t>Zona urbana de Ponedera</t>
  </si>
  <si>
    <t>Escenario calculado sobre caudales reales pero con presuntivo nacional de concentraciones de 90 mg/L para DBO5 Y SST. Este escenario es poco probable sabiendo que el municipio no cuenta con PTAR</t>
  </si>
  <si>
    <t>Lo mas probable y realizable en este quinquenio, dado que deben dedicar esfuerzos a eliminar puntos de vertimiento</t>
  </si>
  <si>
    <t>Zona urbana de Sabanalarga</t>
  </si>
  <si>
    <t>Cuenta con STAR</t>
  </si>
  <si>
    <r>
      <rPr>
        <b/>
        <sz val="11"/>
        <color theme="1"/>
        <rFont val="Calibri"/>
        <family val="2"/>
        <scheme val="minor"/>
      </rPr>
      <t xml:space="preserve">Escenario 2: </t>
    </r>
    <r>
      <rPr>
        <sz val="11"/>
        <color theme="1"/>
        <rFont val="Calibri"/>
        <family val="2"/>
        <scheme val="minor"/>
      </rPr>
      <t>ESTE ESCENARIO SE FUNDAMENTA EN EL CUMPLIMIENTO DE  LIMITES PERMISIBLES DEL EMISARIO FINAL, pero no garantizando eficiencias de diseño de la PTAR sino, asegurando efluente de la PTAR con concentraciones de 90 mg/L para DBO5 y SST  PTAR.</t>
    </r>
  </si>
  <si>
    <t>Zona urbana de Polonuevo</t>
  </si>
  <si>
    <t>Zona urbana de Puerto Colombia</t>
  </si>
  <si>
    <t>Para la carga generada y transportada a la PTAR</t>
  </si>
  <si>
    <t>Se supone que ya toda la carga generada, debe estar conectada  a la PTAR para el año 2022</t>
  </si>
  <si>
    <t>Zona urbana de Tubará</t>
  </si>
  <si>
    <t>Zona urbana de Galapa</t>
  </si>
  <si>
    <t>Zona urbana de Municipio de Juan de Acosta</t>
  </si>
  <si>
    <t xml:space="preserve">Escenario calculado por TRIPLE A sobre caudales reales pero con presuntivo nacional de concentraciones de 90 mg/L para DBO5 Y SST para los cinco años </t>
  </si>
  <si>
    <t>EVALUACION DE PROPUESTAS DE AJUSTES DE METAS DEFINIDAS EN ACUERDO 006 DE 2020 SUSTENTADAS  BAJO RESOLUCION 0206 DE 2021 PARA ADECUAR METAS A LA CRISIS DE LA PANDEMIA POR COVID 19 ( LAS EVALAUCIONES SE REGISTRAN POR USUARIO O POR ESP REGISTRADAS EN EXPEDIENTES)</t>
  </si>
  <si>
    <t>Zona urbana de Municipio de Piojó</t>
  </si>
  <si>
    <t>Zona urbana de Municipio de Usiacurí</t>
  </si>
  <si>
    <t>Si se cuenta con PTAR, se espera que la ESP tenga eliminados el 100% de los puntos de vertimiento al iniciar quinquenio 2021 -2025</t>
  </si>
  <si>
    <t>Zona urbana de Municipio de Soledad</t>
  </si>
  <si>
    <t>Se espera que la ESP tenga eliminados el 50% de los puntos de vertimiento al finalizar quinquenio 2021 -2025</t>
  </si>
  <si>
    <t>Presuntivo nacional RAS para aguas residuales domesticas sin tratamiento</t>
  </si>
  <si>
    <t>Ante los bajos caudales reportados, se adopta el mismo caudal adoptado por habitante para la ciudad de Barranquilla</t>
  </si>
  <si>
    <r>
      <rPr>
        <b/>
        <sz val="11"/>
        <color theme="1"/>
        <rFont val="Calibri"/>
        <family val="2"/>
        <scheme val="minor"/>
      </rPr>
      <t>Escenario 1.</t>
    </r>
    <r>
      <rPr>
        <sz val="11"/>
        <color theme="1"/>
        <rFont val="Calibri"/>
        <family val="2"/>
        <scheme val="minor"/>
      </rPr>
      <t xml:space="preserve"> Calculo de cargas con presuntivo con RAS ( RES 330 DE 2017)</t>
    </r>
  </si>
  <si>
    <r>
      <rPr>
        <b/>
        <sz val="11"/>
        <color theme="1"/>
        <rFont val="Calibri"/>
        <family val="2"/>
        <scheme val="minor"/>
      </rPr>
      <t>Escenario 4.</t>
    </r>
    <r>
      <rPr>
        <sz val="11"/>
        <color theme="1"/>
        <rFont val="Calibri"/>
        <family val="2"/>
        <scheme val="minor"/>
      </rPr>
      <t xml:space="preserve"> Es la propuesta de TRIPLE A para modificar metas del Acuerdo 006 de 2020</t>
    </r>
  </si>
  <si>
    <r>
      <rPr>
        <b/>
        <sz val="11"/>
        <color theme="1"/>
        <rFont val="Calibri"/>
        <family val="2"/>
        <scheme val="minor"/>
      </rPr>
      <t>Escenario apuesta de la CRA</t>
    </r>
    <r>
      <rPr>
        <sz val="11"/>
        <color theme="1"/>
        <rFont val="Calibri"/>
        <family val="2"/>
        <scheme val="minor"/>
      </rPr>
      <t>:Metas de cargas municipio de Polonuevo 2021 -2025</t>
    </r>
  </si>
  <si>
    <r>
      <rPr>
        <b/>
        <sz val="11"/>
        <color theme="1"/>
        <rFont val="Calibri"/>
        <family val="2"/>
        <scheme val="minor"/>
      </rPr>
      <t>Escenario apuesta de la CRA:</t>
    </r>
    <r>
      <rPr>
        <sz val="11"/>
        <color theme="1"/>
        <rFont val="Calibri"/>
        <family val="2"/>
        <scheme val="minor"/>
      </rPr>
      <t xml:space="preserve"> Metas de cargas municipio de Baranoa 2021 -2025</t>
    </r>
  </si>
  <si>
    <r>
      <rPr>
        <b/>
        <sz val="11"/>
        <color theme="1"/>
        <rFont val="Calibri"/>
        <family val="2"/>
        <scheme val="minor"/>
      </rPr>
      <t xml:space="preserve">Escenario apuesta de la CRA: </t>
    </r>
    <r>
      <rPr>
        <sz val="11"/>
        <color theme="1"/>
        <rFont val="Calibri"/>
        <family val="2"/>
        <scheme val="minor"/>
      </rPr>
      <t>Metas de cargas municipio de Sabanalarga 2021 -2025</t>
    </r>
  </si>
  <si>
    <r>
      <rPr>
        <b/>
        <sz val="11"/>
        <color theme="1"/>
        <rFont val="Calibri"/>
        <family val="2"/>
        <scheme val="minor"/>
      </rPr>
      <t xml:space="preserve">Escenario apuesta de la CRA: </t>
    </r>
    <r>
      <rPr>
        <sz val="11"/>
        <color theme="1"/>
        <rFont val="Calibri"/>
        <family val="2"/>
        <scheme val="minor"/>
      </rPr>
      <t>Metas de cargas municipio de Puerto Colombia 2021 -2025</t>
    </r>
  </si>
  <si>
    <r>
      <rPr>
        <b/>
        <sz val="11"/>
        <color theme="1"/>
        <rFont val="Calibri"/>
        <family val="2"/>
        <scheme val="minor"/>
      </rPr>
      <t>Escenario apuesta de la CRA:</t>
    </r>
    <r>
      <rPr>
        <sz val="11"/>
        <color theme="1"/>
        <rFont val="Calibri"/>
        <family val="2"/>
        <scheme val="minor"/>
      </rPr>
      <t xml:space="preserve"> Metas de cargas municipio de Puerto Colombia 2021 -2025</t>
    </r>
  </si>
  <si>
    <t>SOLICITUD</t>
  </si>
  <si>
    <t>DECISION</t>
  </si>
  <si>
    <t>TRAMO</t>
  </si>
  <si>
    <t xml:space="preserve">TRIPLE A S.A E.S.P. BARANOA </t>
  </si>
  <si>
    <t>TRIPLE A S.A E.S.P. SANTO TOMÁS E.S.P.</t>
  </si>
  <si>
    <t xml:space="preserve">TRIPLE A S.A E.S.P. SABANAGRANDE </t>
  </si>
  <si>
    <t>TRIPLE A S.A E.S.P. POLONUEVO</t>
  </si>
  <si>
    <t>TRIPLE A S.A E.S.P. SOLEDAD</t>
  </si>
  <si>
    <t>TRIPLE A S.A E.S.P. PALMAR DE VARELA</t>
  </si>
  <si>
    <t>TERMOBARRANQUILLA S.A. E.S.P TEBSA</t>
  </si>
  <si>
    <t>ACERÍAS DE COLOMBIA S.A ACESCO (LAMINACIÓN)</t>
  </si>
  <si>
    <t xml:space="preserve">FABRICA DE BOLSAS DE PAPEL UNIBOL S.A. </t>
  </si>
  <si>
    <t>ALCALDÍA MUNICIPAL DE PONEDERA</t>
  </si>
  <si>
    <t xml:space="preserve">TRIPLE A S.A. E.S.P. BARRANQUILLA***     </t>
  </si>
  <si>
    <t>GELATINAS DE COLOMBIA - GELCO S.A.S.</t>
  </si>
  <si>
    <t>SMURFIT KAPPA CARTÓN DE COLOMBIA</t>
  </si>
  <si>
    <t xml:space="preserve">TRIPLE A S.A E.S.P. GALAPA </t>
  </si>
  <si>
    <t>TRIPLE A S.A E.S.P. PUERTO COLOMBIA</t>
  </si>
  <si>
    <t>TRIPLE A S.A E.S.P. TUBARÁ</t>
  </si>
  <si>
    <t>ALCALDÍA MUNICIPAL DE PIOJÓ</t>
  </si>
  <si>
    <t>ALCALDÍA MUNICIPAL DE JUAN DE ACOSTA</t>
  </si>
  <si>
    <t>TRIPLE A  S.A E.S.P. SABANALARGA ( integrado norte y sur)</t>
  </si>
  <si>
    <t>TRIPLE A  S.A E.S.P. USIACURÍ</t>
  </si>
  <si>
    <t>Las misma consideraciones indicadas para el tramo 1</t>
  </si>
  <si>
    <t>TASA RETRIBUTIVA POR DESCARGAS PUNTUALES- CRA 2021 -2025</t>
  </si>
  <si>
    <t>Resumen</t>
  </si>
  <si>
    <t>USUARIO QUE SOLICITÓ AJUSTES</t>
  </si>
  <si>
    <t>MEMORIAS DE LA EVALUACION DE PROPUESTAS DE AJUSTES A LAS METAS DEFINIDAS EN EL ACUERDO 006 DE 2020</t>
  </si>
  <si>
    <t>En resumen, todas las modificaciones solicitadas se sustentan en información o cálculos presuntivos de la ESP, utilizando datos o estimaciones secundarias del orden nacional en muchos casos, pero  pocos indicadores o módulos construidos a nivel regional o local, no obstante que la entidad reporta algunos estudios o información de consumos de agua, calidad de aguas. Se resalta que aunque existen varios sistemas de alcantarillado con PTAR, el usuario no reporta ningún estudio  que demuestre cumplimiento de las eficiencias proyectas y en muchos casos, en vez de proyectar metas con BASE en la eficiencia de la PTAR, asume que van a cumplir con la norma de LIMITES PERMISIBLES para realizar las proyecciones de cargas.</t>
  </si>
  <si>
    <t>Se acepta la solicitud- se modifican cargas 2021-2025. Ver hoja de cálculo: metas tramo 1 ajustadas</t>
  </si>
  <si>
    <t>Se acepta la nueva propuesta de metas de cargas la cual incluye nueva línea base y reducciones  al final del quinquenio del 27 % para ambas sustancias. Ver hoja de cálculo: metas tramo 1 ajustadas</t>
  </si>
  <si>
    <t>Se aceptan en su totalidad los argumentos sustentados por el usuario, como respuesta a la Resolución 00206 de abril de 2021. Ver hoja de cálculo: metas tramo 3 ajustadas</t>
  </si>
  <si>
    <t>Población (habitantes)</t>
  </si>
  <si>
    <t>Datos DANE</t>
  </si>
  <si>
    <t xml:space="preserve"> Concesión vigente de  la CRA</t>
  </si>
  <si>
    <t>Información reportada por Triple A</t>
  </si>
  <si>
    <t>Cálculos propios</t>
  </si>
  <si>
    <t>Resolución 0631 -Concentración permitida después de manejo y tratamiento</t>
  </si>
  <si>
    <t>Valor  de efluentes que cumplen limites permisibles y generan menos de  625  kg/día</t>
  </si>
  <si>
    <r>
      <rPr>
        <b/>
        <sz val="11"/>
        <color theme="1"/>
        <rFont val="Calibri"/>
        <family val="2"/>
        <scheme val="minor"/>
      </rPr>
      <t xml:space="preserve">Escenario 1: </t>
    </r>
    <r>
      <rPr>
        <sz val="11"/>
        <color theme="1"/>
        <rFont val="Calibri"/>
        <family val="2"/>
        <scheme val="minor"/>
      </rPr>
      <t xml:space="preserve"> Este escenario calcula cargas con base en información regional de caudales,  DBO5 y SST , pero además y proyecta cargas con base en la eficiencia de diseño de la PTAR del municipio.</t>
    </r>
  </si>
  <si>
    <t>Cargas finales considerando que  existe y funciona adecuadamente la PTAR en LA CABECERA DE POLONUEVO. LA ESP no reporta datos ni información de la calidad de efluentes que refrenden la eficiencia del sistema de tratamiento.</t>
  </si>
  <si>
    <t>Los cálculos de cargas se basan en que toda la carga de DBO5 y SST generada está llegando a cuerpos de agua, independientemente de la cobertura del alcantarillado</t>
  </si>
  <si>
    <t>Carga total de DBO5 reportada por la ESP en reclamación (Res 0206 de 2021)-kg/año</t>
  </si>
  <si>
    <t>Escenario calculado sobre caudales reales pero con presuntivo nacional de concentraciones de 250 mg/L para DBO5 Y SST a pesar de reportar PTAR coeficiencias del 80 y el 42%. Este escenario reporta cálculos muy elevados en comparación con los demás escenario de evaluación de metas.</t>
  </si>
  <si>
    <t>Carga total de SST reportada por la ESP en reclamación (Res 0206 de 2021)- kg/año</t>
  </si>
  <si>
    <t>Justificaciones de orden socioeconómico para modificación de metas del Acuerdo 006 de 2020</t>
  </si>
  <si>
    <t>De oficio se presume que  las inversiones propuestas para la construcción y arranque de la PTAR, no van a tener ningún inconveniente por la pandemia.</t>
  </si>
  <si>
    <t>Conclusiones y recomendaciones</t>
  </si>
  <si>
    <t>La evaluación indica que las metas de cargas mas ajustado a la realidad del sistema de alcantarillado de Polonuevo y las condiciones socioeconómicas actuales, son las del escenario 2. Las siguientes son las metas de cargas a ser consideradas para la meta individual y la meta global de cargas  2021-2025 para este casco urbano:</t>
  </si>
  <si>
    <t>Ítem</t>
  </si>
  <si>
    <t xml:space="preserve">Descripción </t>
  </si>
  <si>
    <t>Reportes últimos de TRIPLE A</t>
  </si>
  <si>
    <t xml:space="preserve">Por el momento socioeconómico que plantea la Pandemia, este escenario es el que mas se aproxima a la propuesta de ajuste de metas de la TRIPLE A. Se fundamenta no en la calidad del efluente tratado  sino en el cumplimiento de  limites permisibles (Res 0631 de 2015). </t>
  </si>
  <si>
    <t>Suma de caudales. La empresa reporta consumo promedio de 104 L/h-d. dado que es inexplicablemente bajo, se maneja el mismo percapita sustentado para Barranquilla de 133 l/h-d. Esta dotación se sustenta por la ESP como si ya se estuviera cumpliendo.</t>
  </si>
  <si>
    <t>Caudal presuntivo de sustitución</t>
  </si>
  <si>
    <t>Calculado con un percapita de 133 l/h-d ( dato presuntivo de TRIPLE A para Barranquilla y adoptado por la CRA para Soledad)</t>
  </si>
  <si>
    <t>Valor  de efluentes que cumplen limites permisibles y generan mas de  625  kg/día</t>
  </si>
  <si>
    <r>
      <rPr>
        <b/>
        <sz val="11"/>
        <color theme="1"/>
        <rFont val="Calibri"/>
        <family val="2"/>
        <scheme val="minor"/>
      </rPr>
      <t xml:space="preserve">Escenario 1: </t>
    </r>
    <r>
      <rPr>
        <sz val="11"/>
        <color theme="1"/>
        <rFont val="Calibri"/>
        <family val="2"/>
        <scheme val="minor"/>
      </rPr>
      <t xml:space="preserve"> Este escenario calcula cargas con base en información regional de caudales,  DOTACIONES PERCAPITA, DBO5 y SST , pero además y proyecta cargas con base en la eficiencia de diseño de la PTAR del municipio ( EFICIENCIA CERO, PORQUE NO EXISTE).</t>
    </r>
  </si>
  <si>
    <t>Cargas finales calculadas con base en dotaciones de 133 l/p-d y las mismas concentraciones de DBO5 y SST para la ciudad de Barranquilla. No se consideran reducciones de ningún tipo, por cuando no existe ni en planos una PTAR.</t>
  </si>
  <si>
    <t>Los cálculos de cargas se basan en que toda la carga de DBO5 y SST generada está llegando a cuerpos de agua, independientemente de la cobertura del alcantarillado. La CRA INDICA QUE LA PTAR SE COSNTRUYE EN 2021 y por tanto, la cobertura del alcantarillado ya estará resuelta al 100% para 2021.</t>
  </si>
  <si>
    <t>LA PROPUESTA DE TRIPLE A se basa en caudales de 250 l/h-día y percapitas de contaminación de 50 gr/h-d, los cuales resultan muy elevados para un municipio que lleva una contabilidad del agua para facturación y tan cercano a Barranquilla, donde se manejan otras cuentas</t>
  </si>
  <si>
    <t>No hay información</t>
  </si>
  <si>
    <t>La evaluación indica que las metas de cargas mas ajustado a la realidad del sistema de alcantarillado de Soledad y las condiciones socioeconómicas actuales, son las del escenario 1. Las siguientes son las metas de cargas a ser consideradas para la meta individual y la meta global de cargas  2021-2025 para este casco urbano:</t>
  </si>
  <si>
    <t>Se adopta en su totalidad el escenario1, considerando que ya en este quinquenio no se abordaran obras de tratamiento de aguas residuales en el alcantarillado de  Soledad.</t>
  </si>
  <si>
    <t>Datos de eficiencia de la PTAR. Cargas finales considerando que  existe y funciona adecuadamente la PTAR en USUIACURI con las eficiencias de diseño. El municipio no cuenta con PTAR y la LA ESP no reporta datos ni información de la calidad de efluentes.</t>
  </si>
  <si>
    <t>La evaluación indica que las metas de cargas mas ajustado a la realidad del sistema de alcantarillado de Usiacurí y las condiciones socioeconómicas actuales, son las del escenario 2. Las siguientes son las metas de cargas a ser consideradas para la meta individual y la meta global de cargas  2021-2025 para este casco urbano:</t>
  </si>
  <si>
    <t>Es una combinación entre los escenarios 1 y 3. Se calculan cargas de entrada al STAR con presuntivos regionales de DBO5 y SST, pero al no existir caracterizaciones de efluentes de la PTAR, se acepta de buena fe, como alternativa de manejo por crisis de la pandemia, asumir que la PTAR reporta concentraciones  equivalentes a los limites permisibles para ambas sustancias durante el quinquenio.</t>
  </si>
  <si>
    <t>Datos de eficiencia de la PTAR. Cargas finales considerando que  existe y funciona adecuadamente la PTAR en LA CABECERA DE PIOJÓ con las eficiencias de diseño. LA ESP no reporta datos ni información de la calidad de efluentes.</t>
  </si>
  <si>
    <t>TRIPLE A no reporta información, pero la CRA indica que antes de 2023 estar funcionado la PTAR con eficiencias aproximadas a los valores indicados</t>
  </si>
  <si>
    <t>La evaluación indica que las metas de cargas mas ajustado a la realidad del sistema de alcantarillado de Piojó y las condiciones socioeconómicas actuales, son las del escenario 2. Las siguientes son las metas de cargas a ser consideradas para la meta individual y la meta global de cargas  2021-2025 para este casco urbano:</t>
  </si>
  <si>
    <t>Es una combinación entre los escenarios 1 y 3. Los primeros tres años se aceptan las cargas normales sin ningún tratamiento y calculadas con un presuntivo regional, pero para el  cuarto y ultimo año, se prevé que a través de tratamientos preliminares, se garanticen concentraciones equivalentes a limites permisibles(90 mg/L).</t>
  </si>
  <si>
    <t>Se espera que la ESP tenga eliminados el 100% de los puntos de vertimiento al finalizar el tercer periodo</t>
  </si>
  <si>
    <t>Datos de eficiencia de la PTAR. Cargas finales considerando que  existe y funciona adecuadamente la PTAR en LA CABECERA DE JUAN DE ACOSTA. LA ESP no reporta datos ni información de la calidad de efluentes.</t>
  </si>
  <si>
    <t>TRIPLE A no reporta información. La CRA indica que el contrato de la PTAR se adjudica este año y se presume que al tercer años e puedan estar evidenciado las eficiencias indicadas de manera aproximada.</t>
  </si>
  <si>
    <t>La evaluación indica que las metas de cargas mas ajustado a la realidad del sistema de alcantarillado de Juan de Acosta y las condiciones socioeconómicas actuales, son las del escenario 2. Las siguientes son las metas de cargas a ser consideradas para la meta individual y la meta global de cargas  2021-2025 para este casco urbano:</t>
  </si>
  <si>
    <t>Es una combinación entre los escenarios 1 y 3. Los primeros tres años se aceptan las cargas normales sin ningún tratamiento y calculadas con un presuntivo regional, pero para el ultimo año, se prevé que a través de tratamientos preliminares, se garanticen concentraciones equivalentes a limites permisibles(90 mg/L).</t>
  </si>
  <si>
    <t>Si la PTAR se construye este  año (2021) , s espera que arranque al menos en 2023 y por tanto, el 100% de  los puntos de vertimiento deberán estar  eliminados y toda la carga generada conectada al interceptor.</t>
  </si>
  <si>
    <t>Cargas finales considerando que  existe y funciona adecuadamente la PTAR en LA CABECERA DE GALAPA. LA ESP no reporta datos ni información de la calidad de efluentes que refrenden la eficiencia del sistema de tratamiento  reportados.</t>
  </si>
  <si>
    <t>Escenario calculado sobre caudales reales pero con presuntivo nacional de concentraciones de 90 mg/L para DBO5 Y SST. Este escenario reporta  cálculos muy elevados en comparación con los escenario 1 y 2 devaluación y se debe a que  no se sustenta en mediciones reales de calidad de efluentes, no obstante que reporta PTAR con eficiencias del 73 y del 80% para DBO5 y SST respectivamente.</t>
  </si>
  <si>
    <t>La evaluación indica que las metas de cargas mas ajustado a la realidad del sistema de alcantarillado de Galapa y las condiciones socioeconómicas actuales, son las del escenario 2. Las siguientes son las metas de cargas a ser consideradas para la meta individual y la meta global de cargas  2021-2025 para este casco urbano:</t>
  </si>
  <si>
    <t>Es una combinación entre los escenarios 1 y 2. Los primeros tres años se aceptan eficiencias de tratamiento ajustadas a limites permisibles(90 mg/L), pero los dos últimos años del quinquenio, la ESP TRIPLE A debe responder por eficiencias efectivas de diseño y operaciones la PTAR. De esta manera se ajustan metas de cargas a condiciones de la pandemia.</t>
  </si>
  <si>
    <t>Cargas finales considerando que  existe y funciona adecuadamente la PTAR en LA CABECERA DE Tubará. LA ESP no reporta datos ni información de la calidad de efluentes que refrenden la eficiencia del sistema de tratamiento  reportados.</t>
  </si>
  <si>
    <t>La evaluación indica que las metas de cargas mas ajustado a la realidad del sistema de alcantarillado de Tubará y las condiciones socioeconómicas actuales, son las del escenario 2. Las siguientes son las metas de cargas a ser consideradas para la meta individual y la meta global de cargas  2021-2025 para este casco urbano:</t>
  </si>
  <si>
    <t>Escenario calculado sobre caudales reales pero con presuntivo nacional de concentraciones de 250 mg/L para DBO5 Y SST. Este escenario reporta  cálculos muy elevados en comparación con los escenario 1y 2 devaluación y se debe a que  no se sustenta en mediciones reales de calidad de efluentes, no obstante que reporta PTAR coeficiencias del 80 y del 68% para DBO5 y SST respectivamente.</t>
  </si>
  <si>
    <t>La evaluación indica que las metas de cargas mas ajustado a la realidad del sistema de alcantarillado de Puerto Colombia y las condiciones socioeconómicas actuales, son las del escenario 2. Las siguientes son las metas de cargas a ser consideradas para la meta individual y la meta global de cargas  2021-2025 para este casco urbano:</t>
  </si>
  <si>
    <t>Es una combinación entre los escenarios 1 y 2. Los primeros tres años se aceptan eficiencias de tratamiento ajustadas a limites permisibles, pero los dos últimos años del quinquenio, la ESP TRIPLE A debe responder por eficiencias efectivas de diseño y operaciones la PTAR. De esta manera se ajustan metas de cargas a condiciones de la pandemia.</t>
  </si>
  <si>
    <t>Cargas finales considerando que  existe y funciona adecuadamente la PTAR en LA CABECERA DE PUERTOCOLOMBIA. LA ESP no reporta datos ni información de la calidad de efluentes que refrenden la eficiencia del sistema de tratamiento.</t>
  </si>
  <si>
    <r>
      <t xml:space="preserve">Es una combinación entre los escenarios 1 y 2. Los primeros tres años se aceptan eficiencias de tratamiento ajustadas a </t>
    </r>
    <r>
      <rPr>
        <b/>
        <sz val="11"/>
        <color theme="1"/>
        <rFont val="Calibri"/>
        <family val="2"/>
        <scheme val="minor"/>
      </rPr>
      <t>limites permisibles</t>
    </r>
    <r>
      <rPr>
        <sz val="11"/>
        <color theme="1"/>
        <rFont val="Calibri"/>
        <family val="2"/>
        <scheme val="minor"/>
      </rPr>
      <t>, pero los dos últimos años del quinquenio, la ESP TRIPLE A debe responder por eficiencias efectivas de diseño y operación de la PTAR. De esta manera se ajustan metas de cargas a condiciones de la pandemia.</t>
    </r>
  </si>
  <si>
    <t>Población</t>
  </si>
  <si>
    <r>
      <rPr>
        <b/>
        <sz val="11"/>
        <color theme="1"/>
        <rFont val="Calibri"/>
        <family val="2"/>
        <scheme val="minor"/>
      </rPr>
      <t xml:space="preserve">Escenario 1: </t>
    </r>
    <r>
      <rPr>
        <sz val="11"/>
        <color theme="1"/>
        <rFont val="Calibri"/>
        <family val="2"/>
        <scheme val="minor"/>
      </rPr>
      <t xml:space="preserve"> Este escenario calcula cargas con base en información regional de caudales,  DBO5 y SST , pero además y proyecta cargas con base en la eficiencia de diseño de la PTAR del municipio, si existiera. </t>
    </r>
  </si>
  <si>
    <t>Cargas finales considerando que  existe y funciona adecuadamente la PTAR en LA CABECERA DE SABANALARGA. LA ESP no reporta datos ni información de la calidad de efluentes que refrenden la eficiencia del sistema de tratamiento.</t>
  </si>
  <si>
    <t xml:space="preserve">Este escenario es el que mas se aproxima a la propuesta de ajuste de metas de la TRIPLE A. La eficiencia que garantiza limites permisibles (Res 0631 de 2015). </t>
  </si>
  <si>
    <t>La evaluación indica que las metas de cargas mas ajustada a la realidad del sistema de alcantarillado de Sabanalarga y las condiciones socioeconómicas actuales, son las del escenario 1. Las siguientes son las metas de cargas a ser consideradas para la meta individual y la meta global de cargas  2021-2025 para este casco urbano:</t>
  </si>
  <si>
    <t>Cargas finales considerando que  existe y funciona adecuadamente la PTAR en LA CABECERA DE PONEDERA. LA ESP no reporta datos ni información de la calidad de efluentes que refrenden la eficiencia del sistema de tratamiento.</t>
  </si>
  <si>
    <t>La evaluación indica que las metas de cargas mas ajustada a la realidad del sistema de alcantarillado de Ponedera y las condiciones socioeconómicas actuales, son las del escenario 1. Las siguientes son las metas de cargas a ser consideradas para la meta individual y la meta global de cargas  2021-2025 para este casco urbano:</t>
  </si>
  <si>
    <t xml:space="preserve">Escenario mas próximo a la realidad de aforos, calidad de efluentes de este municipio ( Ponedera no cuenta con STAR).  </t>
  </si>
  <si>
    <r>
      <rPr>
        <b/>
        <sz val="11"/>
        <color theme="1"/>
        <rFont val="Calibri"/>
        <family val="2"/>
        <scheme val="minor"/>
      </rPr>
      <t xml:space="preserve">Escenario 1: </t>
    </r>
    <r>
      <rPr>
        <sz val="11"/>
        <color theme="1"/>
        <rFont val="Calibri"/>
        <family val="2"/>
        <scheme val="minor"/>
      </rPr>
      <t xml:space="preserve"> Este escenario calcula cargas con base en información regional de caudales,  DBO5 y SST , pero además y proyecta cargas con base en la eficiencia de diseño de la PTAR del municipio</t>
    </r>
  </si>
  <si>
    <t>Cargas finales considerando que  existe y funciona adecuadamente la PTAR en LA CABECERA DE BARANOA.LA ESP no reporta datos ni información de la calidad de efluentes que refrenden la eficiencia del sistema de tratamiento.</t>
  </si>
  <si>
    <t>La evaluación indica que las metas de cargas mas ajustada a la realidad del sistema de alcantarillado de BARANOA y las condiciones socioeconómicas actuales, son las del escenario 2. Las siguientes son las metas de cargas a ser consideradas para la meta individual y la meta global de cargas  2021-2025 para este casco urbano:</t>
  </si>
  <si>
    <t>Escenario mas próximo a la realidad de aforos, calidad de influentes y eficiencia de la PTAR, la cual es menos estricta que el escenario 1, dado que se aceptan LIMITES PERMISIBLES de cargas en el efluente como una forma de suavizar  metas para este quinquenio por la Pandemia. Este escenario coincide con la propuesta de TRIPLE A (escenario 3) para ajustes de metas 2021 -2025</t>
  </si>
  <si>
    <t xml:space="preserve">En cumplimiento de lo establecido en la Resolución 060 de 2021, se presentaron a la CRA un total de 20 SOLICITUDES DE MODIFICACIONES Y AJUSTES  AL MARCO DE METAS DE CARGAS DE DBO5 Y SST DEFINIDO EN EL Acuerdo 006 de 2020. En este cuadro, se presenta el resumen y la relación de documentos de soporte de las solicitudes y la decisiones tomadas para la modificación de las metas de cargas. Esta información permanecerá  publicada en la pagina web de la CRA durante 15 días, antes de ser sometida a evaluación y aprobación por parte del Consejo Directivo de la CRA. </t>
  </si>
  <si>
    <t>Dado que los PSMV y los permisos de vertimiento  están definidos por la CRA  para cada sistema de alcantarillado donde la TRIPLE A es operadora de servicios públicos, las avaluaciones se realizan considerando cada municipio como el usuario integral objeto de control. Los análisis y resultados de las cargas de DBO5 y SST a ser ajustadas y adoptadas por la CRA para el quinquenio, se establecen en una hoja de cálculo específica para cada usuario, en la cual se comparan varios escenarios y se adopta el mas cercano a la realidad de las descargas de cada sistema de alcantarillado, considerando consumos de agua, calidad regional de efluentes, eficiencia de la PTAR (cuando existe) o proyecciones de cumplimiento de las normas de  LIMITES PERMISIBLES en algunos casos. Ver Excel MEMORIAS DE CALCULO, pestaña con el nombre de cada  municipio.</t>
  </si>
  <si>
    <t>Que se revisen cargas de línea base y proyecciones a 2025, descontento cargas de captación, como lo establece la norma ( Articulo 2.2.9.7.2.1.del decreto 1076 de 2015)</t>
  </si>
  <si>
    <t xml:space="preserve">El usuario sustenta un nuevo marco de cargas y propone  reducciones ajustadas a las condiciones económicas previstas para el quinquenio y afectadas por la pandemia del Covid-19. </t>
  </si>
  <si>
    <t>UNIBOL indica en su reclamación que cuenta con una moderna PTAR para sus ARnoD (Industriales) y por tanto, resulta muy difícil ampliar eficiencias de tratamiento en este quinquenio bajo el esquema definido en el marco del Acuerdo 006 de 2020. El usuario indica que la LINEA BASE no será modificada pero si propone metas de reducción de cargas en el quinquenio que oscilan entre el  cero (0) y el 2,5 %.</t>
  </si>
  <si>
    <t>Es claro que en  el panorama socioeconómico impuesto por la pandemia del COVID-19,resulta complicado para el usuario cumplir con el escenario de metas definido en el Acuerdo 006 de 2020, el cual requería reducciones del 47%. La evaluación técnica de los ajustes propuestos, permite establecer que sí es procedente  aceptar las metas de cargas modificadas y sustentadas por el usuario UNIBOL S.A.S en cumplimiento de la dispuesto en la resolución 060 de 2021. Ver hoja de cálculo: metas tramo 1 ajustadas</t>
  </si>
  <si>
    <t>Las decisiones de cada caso se consignan en una hoja de cálculo específico para cada usuario. Ver Excel MEMORIAS DE CALCULO, pestaña con el nombre de cada  municipio.</t>
  </si>
  <si>
    <t>Las decisiones de cada caso se consignan en una hoja de cálculo especifico para cada usuario. Ver Excel MEMORIAS DE CALCULO, pestaña con el nombre de cada  municipio.</t>
  </si>
  <si>
    <t>1. Con respecto a la LINEA BASE, el usuario sustenta no reconocer los datos de las carga  para los años 2018 y 2019 indicando que no entiende de donde salieron los valores asignados en el Acuerdo 006 de 2020, los cuales corresponden al reporte de la Subdirección administrativa y financiera para la facturaciones del año 2019. 2. Con respecto a las propuestas de metas de cargas, GELCO S.A., propone ajustar las metas a partir de mejoramientos secuenciales de sus sistema de tratamiento de aguas residuales con reducciones de cargas hasta llegar a un 10% en el año 2025.</t>
  </si>
  <si>
    <t>1. Se acepta el cambio de la Línea base, pero la CRA debe revisar  las autodeclaraciones y  facturar los valores que está declarando el usuario en esta reclamación para los años 2018, 2019 y 2020. 2. Con respecto a las actividades  propuestas para el manejo de efluentes líquidos, la CRA considera pertinente aceptar la propuesta del usuario GELCO S.A., con rangos de reducciones de cargas de DBO5 y SST  que van desde cero (0) has el 10% de reducción para DBO5 y SST en el quinquenio. La CRA, debe realizar visitas de contramuestreo para verificar  eficiencias del sistema de tratamiento y liquidar FACTOR REGIONAL de cada periodo. Ver hoja de cálculo: metas tramo 3 ajustadas</t>
  </si>
  <si>
    <t>La empresa presenta una sustentación detallada en la cual argumentan los valores reales de la LINEA BASE de DBO5 y SST. A partir de allí, y con base en los estudios internos de planificación del manejo y tratamiento de descargas liquidas, sustentan los escenarios de cargas reales a los cuales pretenden y pueden llegar en el quinquenio. La LINEA BASE se modifica porque  la empresa demuestra que una fracción de cargas vertidas al cuerpo receptor, ya venían como componente natural del influente captado del río Magdalena.</t>
  </si>
  <si>
    <r>
      <rPr>
        <b/>
        <sz val="11"/>
        <color theme="1"/>
        <rFont val="Calibri"/>
        <family val="2"/>
        <scheme val="minor"/>
      </rPr>
      <t xml:space="preserve">Escenario 1: </t>
    </r>
    <r>
      <rPr>
        <sz val="11"/>
        <color theme="1"/>
        <rFont val="Calibri"/>
        <family val="2"/>
        <scheme val="minor"/>
      </rPr>
      <t xml:space="preserve"> Este escenario calcula cargas con base en información regional de DBO5 y SST y proyecta cargas con base en la eficiencia de diseño de la PTAR regional. Es muy próximo a  la realidad, esperando que la PTAR entre en funcionamiento en 2022. dado que se trata de una PTAR regional, estas serian las cargas  de DBO5 y SST imputables A Triple A de Palmar de Varela cuyas aguas residuales van a  la PTAR de Santo Tomas.</t>
    </r>
  </si>
  <si>
    <t>Aunque es el escenario ideal para establecer cargas de un sistema que está próximo a contar con STAR como el de Santo Tomas (con Sabanagrande y Palmar de Varela), lo mas conveniente es evaluar otra opción que permita mas holgura de manejo este quinquenio mientras se estabiliza la PTAR. Se trabaja con eficiencia aproximada a la eficiencia de diseño en  mg/l para DBO5 y SST EN EL EFLUENTE ( como si la PTAR estuviera en Palmar de Varela). LA ESP no reporta datos ni información de la calidad de efluentes que refrenden la eficiencia del sistema de tratamiento.</t>
  </si>
  <si>
    <r>
      <rPr>
        <b/>
        <sz val="11"/>
        <color theme="1"/>
        <rFont val="Calibri"/>
        <family val="2"/>
        <scheme val="minor"/>
      </rPr>
      <t xml:space="preserve">Escenario 2: </t>
    </r>
    <r>
      <rPr>
        <sz val="11"/>
        <color theme="1"/>
        <rFont val="Calibri"/>
        <family val="2"/>
        <scheme val="minor"/>
      </rPr>
      <t xml:space="preserve"> esperando que la PTAR entre en funcionamiento en 2022 pero proyectando cumplimiento solo hasta LIMITES PERMISIBLES, es decir garantizando concentraciones de 90 mg/L para DBO5 y SST para el efluentes e la PTAR.</t>
    </r>
  </si>
  <si>
    <t>Este escenario es el que mas se aproxima a la propuesta de ajuste de metas de la TRIPLE A. La eficiencia que garantiza limites permisibles (Res 0631 de 2015), solo seria verificable en el año 2023</t>
  </si>
  <si>
    <t>La evaluación indica que las metas de cargas mas ajustada a la realidad del sistema de alcantarillado de Palmar de Varela y las condiciones socioeconómicas actuales, son las del escenario 2. Las siguientes son las metas de cargas a ser consideradas para la meta individual y la meta global de cargas  2021-2025 para este casco urbano:</t>
  </si>
  <si>
    <r>
      <rPr>
        <b/>
        <sz val="11"/>
        <color theme="1"/>
        <rFont val="Calibri"/>
        <family val="2"/>
        <scheme val="minor"/>
      </rPr>
      <t>Escenario apuesta de la CRA:</t>
    </r>
    <r>
      <rPr>
        <sz val="11"/>
        <color theme="1"/>
        <rFont val="Calibri"/>
        <family val="2"/>
        <scheme val="minor"/>
      </rPr>
      <t xml:space="preserve"> Metas de cargas municipio de santo Tomas 2021 -2025</t>
    </r>
  </si>
  <si>
    <t>Escenario mas próximo a la realidad de aforos, calidad de influentes y eficiencia de la PTAR, la cual es menos estricta que el escenario 1, dado que se aceptan LIMITES PERMISIBLES de cargas en el efluente como una forma de suavizar  metas para este quinquenio por la Pandemia.</t>
  </si>
  <si>
    <t>Escenario 1:  Este escenario calcula cargas con base en información regional de DBO5 y SST y proyecta cargas con base en la eficiencia de diseño de la PTAR regional. Es muy próximo a  la realidad, esperando que la PTAR entre en funcionamiento en 2022. dado que se trata de una PTAR regional, estas serian las cargas  de DBO5 y SST imputables A Triple A de Santo Tomas.</t>
  </si>
  <si>
    <t xml:space="preserve">Aunque es el escenario ideal para establecer cargas de un sistema que está próximo a contar con STAR como el de Santo Tomas, lo mas conveniente es evaluar otra opción que permita mas holgura de manejo este quinquenio mientras se estabiliza la PTAR. Se trabaja con eficiencia aproximada a LIMITES PERMISIBLES DE 90 mg/l para DBO5 y SST EN EL EFLUENTE. </t>
  </si>
  <si>
    <t>Escenario 2:  esperando que la PTAR entre en funcionamiento en 2022 pero proyectando cumplimiento solo hasta LIMITES PERMISIBLES, es decir garantizando concentraciones de 90 mg/L para DBO5 y SST para el efluentes e la PTAR.</t>
  </si>
  <si>
    <t>Tratándose de parámetros con valores diferentes, no se entiende por qué se trabaja con valores iguales, en especial porque son influentes estudiados para el diseño y construcción de una PTAR. Los estudio de tratabilidad restos desechos aportan información amplia y muy necesaria para los diseños del sistema de tratamiento.</t>
  </si>
  <si>
    <t>La evaluación indica que las metas de cargas mas ajustada a la realidad del sistema de alcantarillado de Santo Tomas y las condiciones socioeconómicas actuales, son las del escenario 2. Las siguientes son las metas de cargas a ser consideradas para la meta individual y la meta global de cargas  2021-2025:</t>
  </si>
  <si>
    <r>
      <rPr>
        <b/>
        <sz val="11"/>
        <color theme="1"/>
        <rFont val="Calibri"/>
        <family val="2"/>
        <scheme val="minor"/>
      </rPr>
      <t>Escenario apuesta de la CRA</t>
    </r>
    <r>
      <rPr>
        <sz val="11"/>
        <color theme="1"/>
        <rFont val="Calibri"/>
        <family val="2"/>
        <scheme val="minor"/>
      </rPr>
      <t>: Metas de cargas municipio de santo Tomas 2021 -2025</t>
    </r>
  </si>
  <si>
    <t>Escenario mas próximo a la realidad de aforos, calidad de influentes y eficiencia de la PTAR, la cual es menos estricta que ele escenario 1, dado que se aceptan LIMITES PERMISIBLES de cargas en el efluente.</t>
  </si>
  <si>
    <t>El usuario calcula las concentraciones  sobre una base PRESUNTIVA de 90 mg/l de DBO5 y SST PARA TODOS LOS PERIODOS, estimando los descuentos de cargas por eficiencia del STAR, el cual aporta eficiencias del 74 y 68% para DBO5 y SST</t>
  </si>
  <si>
    <t xml:space="preserve"> Promedios de mediciones de la TRIPLEA recientes  para sistemas de la región</t>
  </si>
  <si>
    <t>Referencia en datos de calidad de aguas de Barranquilla antes del STAR</t>
  </si>
  <si>
    <t>Promedios de mediciones de la TRIPLEA recientes  para sistemas de la región</t>
  </si>
  <si>
    <t>Cargas calculadas a partir de un PERCAPITA DE 0,50 kg/-h-día para ambas sustancias, restando la eficiencias reportadas por TRIPLE A para la PTAR de santo Tomas. Son las cargas imputables al municipio de Sabanagrande, no obstante que la PTAR se construye en Santo Tomas.</t>
  </si>
  <si>
    <r>
      <rPr>
        <b/>
        <sz val="11"/>
        <color theme="1"/>
        <rFont val="Calibri"/>
        <family val="2"/>
        <scheme val="minor"/>
      </rPr>
      <t>Escenario 2:</t>
    </r>
    <r>
      <rPr>
        <sz val="11"/>
        <color theme="1"/>
        <rFont val="Calibri"/>
        <family val="2"/>
        <scheme val="minor"/>
      </rPr>
      <t xml:space="preserve"> de aproximación CRA: Cálculos con caudales y concentraciones mas aproximados a la realidad local. A diferencia del escenario 1, en este se trabaja con concertaciones regionales de DBO5 y SST y con caudales reportados por TRIPLE A. Se proyectan cargas finales  con las eficiencias de diseño de la PTAR</t>
    </r>
  </si>
  <si>
    <t>El escenario ideal para establecer cargas de un sistema que cuenta con STAR como el de Sabanagrande, se debe fundamentar en cálculos reales sobre concentraciones  de DBO5 Y SST medidas in situ y caudales aforados en el emisario final. Lamentablemente, esta información no es usada por el usuario en este caso, dado que se fundamenta en datos teóricos y presuntivos, y por tanto, las cargas deben calcularse con base en la mejor información disponible, descontento (de buena fe), las eficiencias reportadas para el STAR.</t>
  </si>
  <si>
    <r>
      <rPr>
        <b/>
        <sz val="11"/>
        <color theme="1"/>
        <rFont val="Calibri"/>
        <family val="2"/>
        <scheme val="minor"/>
      </rPr>
      <t>Escenario 3:</t>
    </r>
    <r>
      <rPr>
        <sz val="11"/>
        <color theme="1"/>
        <rFont val="Calibri"/>
        <family val="2"/>
        <scheme val="minor"/>
      </rPr>
      <t xml:space="preserve"> de aproximación CRA: Cálculos con caudales y concentraciones mas aproximados a la realidad local. A diferencia del escenario 1 y 2, en este se trabaja con concentraciones regionales de DBO5 y SST,  con caudales reportados por TRIPLE A pero se proyectan cargas finales  con las eficiencias de diseño de cumplimiento de LIMITES PERMISIBLES de 90 mg/L para ambas sustancias.</t>
    </r>
  </si>
  <si>
    <t>Se asume en este escenario que a partir del año 2023, se puede verificar cumplimiento de eficiencias cercanas a LIMITES PERMISIBLES de DBO5 Y SST en la PTAR  a construir pero en Santo Tomas.</t>
  </si>
  <si>
    <t>Presuntivo con información mas real y limites normativos</t>
  </si>
  <si>
    <t>Se asume que la PTAR estará arrancada y funcionando a finales del año 2022 con las eficiencias de diseño.</t>
  </si>
  <si>
    <t>La propuesta de nuevas metas no es coherente. No corresponde la calidad  de aguas residuales con los valores esperados, tanto de entrada como de salida del STAR por cuando pretenden llegar a cargas PERCAPITA DE 0,012 kg/h-día con eficiencias inferiores al 80%. Llama la atención que no se reporten valores de entrada para concentraciones de DBO5 y SST sabiéndose que para una PTAR de las magnitudes que se ha diseñado y esta próxima a recibirse, debieron adelantarse los estudios de calidad y tratabilidad del desecho, como fundamento para los diseños de las operaciones unitarias propuestas. De acuerdo  con esta propuesta la PTAR ya estaría en funcionamiento desde 2021, lo cual no esta confirmado por la CRA.</t>
  </si>
  <si>
    <t>Al igual que lo ocurrido en el proceso de consulta que fundamentó las decisiones del Acuerdo 006, la ESP no muestra proyectos estratégicos de corto mediano y largo plazo para mejorar calidad de aguas residuales en la ciudad de Barranquilla.</t>
  </si>
  <si>
    <t>Ante las circunstancias de la pandemia COVID 19, se justifica un replanteamiento de inversiones de este tipo que deberán priorizar inversiones para el próximo quinquenio ( 2026-2030)</t>
  </si>
  <si>
    <r>
      <t xml:space="preserve">Se debe trabajar con el </t>
    </r>
    <r>
      <rPr>
        <b/>
        <sz val="11"/>
        <color theme="1"/>
        <rFont val="Calibri"/>
        <family val="2"/>
        <scheme val="minor"/>
      </rPr>
      <t>escenario 3</t>
    </r>
    <r>
      <rPr>
        <sz val="11"/>
        <color theme="1"/>
        <rFont val="Calibri"/>
        <family val="2"/>
        <scheme val="minor"/>
      </rPr>
      <t xml:space="preserve"> como el que  que mas se ajuste a la realidad local de concentraciones y cargas de DBO5 y SST para el sistema de alcantarillado de Sabanagrande. Las siguienets son las cargas a ser asumidas como metas individuales para integrar la meta global de cargas 2021 -2025:</t>
    </r>
  </si>
  <si>
    <t>Escenario de aproximación CRA: Cálculos con caudales y concentraciones mas aproximados a la realidad local</t>
  </si>
  <si>
    <t>Este es el escenario mas próximo a  la realidad y proyecciones de cargas de DBO5 Y SST para el casco urbano de Sabanagrande.  La CRA debe requerir con urgencia estudios de aforos, de calidad de aguas de entrada y  de salida de la PTAR , así como de eficiencias del STAR de Sabanagrande.</t>
  </si>
  <si>
    <r>
      <rPr>
        <b/>
        <sz val="11"/>
        <color theme="1"/>
        <rFont val="Calibri"/>
        <family val="2"/>
        <scheme val="minor"/>
      </rPr>
      <t>Escenario apuesta de la CRA</t>
    </r>
    <r>
      <rPr>
        <sz val="11"/>
        <color theme="1"/>
        <rFont val="Calibri"/>
        <family val="2"/>
        <scheme val="minor"/>
      </rPr>
      <t>:Calculos con caudales y concentraciones mas aproximados a la realidad local. Los cálculos incluyen todos las descargas identificadas para la TRIPLE A en la zona urbana de Barranquilla</t>
    </r>
  </si>
  <si>
    <t>Reducción en (%) con base en informe de actualización según informe de inventarios de la CRA</t>
  </si>
  <si>
    <t>Equivale a una dotación actual de 156,7 l/h-día</t>
  </si>
  <si>
    <t>Tomado de cuadro de consumos no domésticos (TRIPLE A 2021)</t>
  </si>
  <si>
    <r>
      <rPr>
        <b/>
        <sz val="11"/>
        <color theme="1"/>
        <rFont val="Calibri"/>
        <family val="2"/>
        <scheme val="minor"/>
      </rPr>
      <t>Escenario 2</t>
    </r>
    <r>
      <rPr>
        <sz val="11"/>
        <color theme="1"/>
        <rFont val="Calibri"/>
        <family val="2"/>
        <scheme val="minor"/>
      </rPr>
      <t>: Escenario de aproximación CRA: Cálculos con caudales y concentraciones mas aproximados a la realidad local</t>
    </r>
  </si>
  <si>
    <t>Calculo de aproximación presuntivo con información de TRIPLE A. Se utilizan caudales reportados y concertaciones promedios de cargas sin tratamiento monitoreadas para algunos sectores de la ciudad de Barranquilla</t>
  </si>
  <si>
    <t>PRESUNTIVO CON MAXIMO VALOR PERMITIDO para usuarios no domésticos</t>
  </si>
  <si>
    <r>
      <rPr>
        <b/>
        <sz val="11"/>
        <color theme="1"/>
        <rFont val="Calibri"/>
        <family val="2"/>
        <scheme val="minor"/>
      </rPr>
      <t xml:space="preserve">Escenario 3. </t>
    </r>
    <r>
      <rPr>
        <sz val="11"/>
        <color theme="1"/>
        <rFont val="Calibri"/>
        <family val="2"/>
        <scheme val="minor"/>
      </rPr>
      <t>Presuntivo con información mas real y limites normativos</t>
    </r>
  </si>
  <si>
    <t>En este escenario, se asume que toda la carga final vertida por la ciudad e Barranquilla a los cuerpos de aguad e la jurisdicción, cumplen con con LIMITES PERMISIBLES de 70 mg/L.</t>
  </si>
  <si>
    <t>Relación Carga industrial/carga total DBO5- %</t>
  </si>
  <si>
    <t>Mide la afectación del desecho por carga no domestica</t>
  </si>
  <si>
    <t>Relación Carga industrial/carga total SST</t>
  </si>
  <si>
    <t>Carga total de DBO5 reportada por la ESP en reclamación (Res 0206 de 2021)</t>
  </si>
  <si>
    <t>La propuestas se reconstruye a partir de métodos presuntivos fundamentados en percápitas  del orden nacional, no obstante haber información local de concentraciones de DBO5 y SST</t>
  </si>
  <si>
    <t>Carga total de SST reportada por la ESP en reclamación (Res 0206 de 2021)</t>
  </si>
  <si>
    <t>No se proponen obras que garanticen la remoción de cargas de DBO5 y SST en este quinquenio</t>
  </si>
  <si>
    <t>Se debe trabajar con el escenario que mas se ajuste a la realidad local de concentraciones y cargas de DBO5 y SST. Las cargas que mas se ajustan a la realidad del sistema de alcantarillado de  la ciudad de Barranquilla, son las que se consignan a continuación y con ellas, se reajusta la META GLOBAL DE CARGAS 2021-2025:</t>
  </si>
  <si>
    <t>Escenario calculado a partir de caudales y concentraciones aproximadas y reportadas por la TRIPLE A para cargas domesticas y NO domesticas. Dadas las condiciones socioeconómicas impuestas por la pandemia del COVID 9, se recomienda  a la CRA considerar la reestructuración de cargas planteadas en el Acuerdo 006 de 2020 a estos nuevos escenarios de carga, permitiendo incrementos anuales ajustados a la tasa de crecimiento vegetativo de la población, sin requerimientos de reducción de cargas de DBO5 y SST durante el quinquenio 2021 -2025. La CRA debe notificar a la ESP para que ajuste los PSMV y garantice las obras y cierre financiero del PSMV para el quinquenio 2026 -2030.</t>
  </si>
  <si>
    <r>
      <rPr>
        <b/>
        <sz val="11"/>
        <color theme="1"/>
        <rFont val="Calibri"/>
        <family val="2"/>
        <scheme val="minor"/>
      </rPr>
      <t>Escenario apuesta de la CRA:</t>
    </r>
    <r>
      <rPr>
        <sz val="11"/>
        <color theme="1"/>
        <rFont val="Calibri"/>
        <family val="2"/>
        <scheme val="minor"/>
      </rPr>
      <t>Calculos con caudales y concentraciones mas aproximados a la realidad local. Los cálculos incluyen todos las descargas identificadas para la TRIPLE A en la zona urbana de Barranquilla</t>
    </r>
  </si>
  <si>
    <t>Porcentajes con respecto a lo comprometido en el PSMV y verificado en visitas de evaluación de la CRA. El valor real de puntos  eliminados, solo lo pueden dar los informes de las visitas a campo.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</si>
</sst>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43" formatCode="_-* #,##0.00_-;\-* #,##0.00_-;_-* &quot;-&quot;??_-;_-@_-"/>
    <numFmt numFmtId="164" formatCode="_-* #,##0.000_-;\-* #,##0.000_-;_-* &quot;-&quot;_-;_-@_-"/>
    <numFmt numFmtId="165" formatCode="0.0"/>
    <numFmt numFmtId="166" formatCode="_-* #,##0.0000_-;\-* #,##0.0000_-;_-* &quot;-&quot;_-;_-@_-"/>
    <numFmt numFmtId="167" formatCode="_-* #,##0.0000_-;\-* #,##0.0000_-;_-* &quot;-&quot;????_-;_-@_-"/>
    <numFmt numFmtId="168" formatCode="_-* #,##0.0_-;\-* #,##0.0_-;_-* &quot;-&quot;_-;_-@_-"/>
    <numFmt numFmtId="169" formatCode="_-* #,##0.00_-;\-* #,##0.00_-;_-*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9"/>
      <color theme="1"/>
      <name val="Arial Narrow"/>
      <family val="2"/>
    </font>
    <font>
      <b/>
      <sz val="8"/>
      <name val="Arial"/>
      <family val="2"/>
    </font>
    <font>
      <b/>
      <sz val="8"/>
      <color indexed="8"/>
      <name val="Arial"/>
      <family val="2"/>
    </font>
    <font>
      <b/>
      <sz val="9"/>
      <name val="Arial"/>
      <family val="2"/>
    </font>
    <font>
      <b/>
      <sz val="26"/>
      <color theme="1"/>
      <name val="Calibri"/>
      <family val="2"/>
      <scheme val="minor"/>
    </font>
    <font>
      <b/>
      <sz val="28"/>
      <color theme="1"/>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0"/>
        <bgColor indexed="64"/>
      </patternFill>
    </fill>
    <fill>
      <patternFill patternType="solid">
        <fgColor rgb="FFFF7C80"/>
        <bgColor indexed="64"/>
      </patternFill>
    </fill>
    <fill>
      <patternFill patternType="solid">
        <fgColor rgb="FFFF00FF"/>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rgb="FFFFFF0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auto="1"/>
      </left>
      <right/>
      <top style="medium">
        <color auto="1"/>
      </top>
      <bottom/>
      <diagonal/>
    </border>
    <border>
      <left style="medium">
        <color auto="1"/>
      </left>
      <right/>
      <top/>
      <bottom style="thin">
        <color auto="1"/>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bottom style="medium">
        <color auto="1"/>
      </bottom>
      <diagonal/>
    </border>
    <border>
      <left style="medium">
        <color auto="1"/>
      </left>
      <right/>
      <top style="thin">
        <color auto="1"/>
      </top>
      <bottom style="medium">
        <color auto="1"/>
      </bottom>
      <diagonal/>
    </border>
    <border>
      <left style="medium">
        <color auto="1"/>
      </left>
      <right/>
      <top/>
      <bottom/>
      <diagonal/>
    </border>
  </borders>
  <cellStyleXfs count="3">
    <xf numFmtId="0" fontId="0" fillId="0" borderId="0"/>
    <xf numFmtId="41" fontId="1" fillId="0" borderId="0" applyFont="0" applyFill="0" applyBorder="0" applyAlignment="0" applyProtection="0"/>
    <xf numFmtId="0" fontId="1" fillId="0" borderId="0"/>
  </cellStyleXfs>
  <cellXfs count="370">
    <xf numFmtId="0" fontId="0" fillId="0" borderId="0" xfId="0"/>
    <xf numFmtId="0" fontId="0" fillId="0" borderId="1" xfId="0" applyBorder="1" applyAlignment="1">
      <alignment wrapText="1"/>
    </xf>
    <xf numFmtId="0" fontId="2" fillId="0" borderId="1" xfId="0" applyFont="1" applyBorder="1" applyAlignment="1">
      <alignment horizontal="center"/>
    </xf>
    <xf numFmtId="0" fontId="0" fillId="0" borderId="1" xfId="0" applyBorder="1" applyAlignment="1">
      <alignment vertical="center"/>
    </xf>
    <xf numFmtId="0" fontId="0" fillId="0" borderId="1" xfId="0" applyBorder="1" applyAlignment="1">
      <alignment horizontal="center" vertical="center"/>
    </xf>
    <xf numFmtId="41" fontId="0" fillId="0" borderId="1" xfId="1" applyFont="1" applyBorder="1" applyAlignment="1">
      <alignment horizontal="center" vertical="center"/>
    </xf>
    <xf numFmtId="0" fontId="2" fillId="0" borderId="6" xfId="0" applyFont="1" applyBorder="1"/>
    <xf numFmtId="0" fontId="0" fillId="4" borderId="1" xfId="0" applyFill="1" applyBorder="1" applyAlignment="1">
      <alignment wrapText="1"/>
    </xf>
    <xf numFmtId="0" fontId="0" fillId="0" borderId="1" xfId="0" applyBorder="1" applyAlignment="1">
      <alignment vertical="center" wrapText="1"/>
    </xf>
    <xf numFmtId="0" fontId="0" fillId="3" borderId="1" xfId="0" applyFill="1" applyBorder="1" applyAlignment="1">
      <alignment vertical="center" wrapText="1"/>
    </xf>
    <xf numFmtId="0" fontId="0" fillId="5" borderId="1" xfId="0" applyFill="1" applyBorder="1" applyAlignment="1">
      <alignment vertical="center" wrapText="1"/>
    </xf>
    <xf numFmtId="41" fontId="0" fillId="5" borderId="1" xfId="1" applyFont="1" applyFill="1" applyBorder="1" applyAlignment="1">
      <alignment vertical="center"/>
    </xf>
    <xf numFmtId="0" fontId="0" fillId="6" borderId="1" xfId="0" applyFill="1" applyBorder="1" applyAlignment="1">
      <alignment wrapText="1"/>
    </xf>
    <xf numFmtId="41" fontId="0" fillId="6" borderId="1" xfId="1" applyFont="1" applyFill="1" applyBorder="1" applyAlignment="1">
      <alignment vertical="center"/>
    </xf>
    <xf numFmtId="0" fontId="0" fillId="7" borderId="1" xfId="0" applyFill="1" applyBorder="1" applyAlignment="1">
      <alignment wrapText="1"/>
    </xf>
    <xf numFmtId="41" fontId="0" fillId="7" borderId="1" xfId="1" applyFont="1" applyFill="1" applyBorder="1" applyAlignment="1">
      <alignment vertical="center"/>
    </xf>
    <xf numFmtId="0" fontId="0" fillId="8" borderId="0" xfId="0" applyFill="1"/>
    <xf numFmtId="0" fontId="0" fillId="9" borderId="1" xfId="0" applyFill="1" applyBorder="1" applyAlignment="1">
      <alignment wrapText="1"/>
    </xf>
    <xf numFmtId="3" fontId="0" fillId="9" borderId="1" xfId="0" applyNumberFormat="1" applyFill="1" applyBorder="1" applyAlignment="1">
      <alignment vertical="center"/>
    </xf>
    <xf numFmtId="0" fontId="0" fillId="10" borderId="1" xfId="0" applyFill="1" applyBorder="1" applyAlignment="1">
      <alignment wrapText="1"/>
    </xf>
    <xf numFmtId="166" fontId="0" fillId="0" borderId="0" xfId="0" applyNumberFormat="1"/>
    <xf numFmtId="167" fontId="0" fillId="0" borderId="0" xfId="0" applyNumberFormat="1"/>
    <xf numFmtId="0" fontId="0" fillId="11" borderId="7" xfId="0" applyFill="1" applyBorder="1" applyAlignment="1">
      <alignment horizontal="left" vertical="center" wrapText="1"/>
    </xf>
    <xf numFmtId="0" fontId="0" fillId="11" borderId="8" xfId="0" applyFill="1" applyBorder="1" applyAlignment="1">
      <alignment horizontal="left" vertical="center" wrapText="1"/>
    </xf>
    <xf numFmtId="41" fontId="0" fillId="11" borderId="8" xfId="1" applyFont="1" applyFill="1" applyBorder="1" applyAlignment="1">
      <alignment vertical="center"/>
    </xf>
    <xf numFmtId="0" fontId="0" fillId="2" borderId="7" xfId="0" applyFill="1" applyBorder="1" applyAlignment="1">
      <alignment horizontal="left" vertical="center" wrapText="1"/>
    </xf>
    <xf numFmtId="0" fontId="0" fillId="2" borderId="8" xfId="0" applyFill="1" applyBorder="1" applyAlignment="1">
      <alignment horizontal="left" vertical="center" wrapText="1"/>
    </xf>
    <xf numFmtId="41" fontId="0" fillId="2" borderId="8" xfId="1" applyFont="1" applyFill="1" applyBorder="1" applyAlignment="1">
      <alignment vertical="center"/>
    </xf>
    <xf numFmtId="41" fontId="0" fillId="0" borderId="0" xfId="1" applyFont="1"/>
    <xf numFmtId="41" fontId="0" fillId="0" borderId="0" xfId="0" applyNumberFormat="1"/>
    <xf numFmtId="169" fontId="0" fillId="0" borderId="0" xfId="0" applyNumberFormat="1"/>
    <xf numFmtId="0" fontId="2" fillId="0" borderId="6" xfId="0" applyFont="1" applyBorder="1" applyAlignment="1">
      <alignment wrapText="1"/>
    </xf>
    <xf numFmtId="0" fontId="0" fillId="0" borderId="5" xfId="0" applyBorder="1" applyAlignment="1">
      <alignment wrapText="1"/>
    </xf>
    <xf numFmtId="0" fontId="2" fillId="0" borderId="1" xfId="0" applyFont="1" applyBorder="1" applyAlignment="1">
      <alignment horizontal="center" wrapText="1"/>
    </xf>
    <xf numFmtId="41" fontId="0" fillId="0" borderId="1" xfId="0" applyNumberFormat="1" applyBorder="1" applyAlignment="1">
      <alignment wrapText="1"/>
    </xf>
    <xf numFmtId="3" fontId="0" fillId="0" borderId="1" xfId="0" applyNumberFormat="1" applyBorder="1" applyAlignment="1">
      <alignment horizontal="center" vertical="center" wrapText="1"/>
    </xf>
    <xf numFmtId="164" fontId="0" fillId="0" borderId="1" xfId="0" applyNumberFormat="1" applyBorder="1" applyAlignment="1">
      <alignment wrapText="1"/>
    </xf>
    <xf numFmtId="41" fontId="0" fillId="0" borderId="1" xfId="1" applyFont="1" applyBorder="1" applyAlignment="1">
      <alignment horizontal="center" vertical="center" wrapText="1"/>
    </xf>
    <xf numFmtId="41" fontId="0" fillId="4" borderId="1" xfId="0" applyNumberFormat="1" applyFill="1" applyBorder="1" applyAlignment="1">
      <alignment wrapText="1"/>
    </xf>
    <xf numFmtId="41" fontId="0" fillId="4" borderId="1" xfId="0" applyNumberFormat="1" applyFill="1" applyBorder="1" applyAlignment="1">
      <alignment horizontal="center" vertical="center" wrapText="1"/>
    </xf>
    <xf numFmtId="0" fontId="0" fillId="0" borderId="1" xfId="0" applyBorder="1" applyAlignment="1">
      <alignment horizontal="center" vertical="center" wrapText="1"/>
    </xf>
    <xf numFmtId="41" fontId="0" fillId="0" borderId="1" xfId="1" applyFont="1" applyBorder="1" applyAlignment="1">
      <alignment vertical="center" wrapText="1"/>
    </xf>
    <xf numFmtId="41" fontId="0" fillId="7" borderId="1" xfId="1" applyFont="1" applyFill="1" applyBorder="1" applyAlignment="1">
      <alignment vertical="center" wrapText="1"/>
    </xf>
    <xf numFmtId="41" fontId="0" fillId="6" borderId="1" xfId="1" applyFont="1" applyFill="1" applyBorder="1" applyAlignment="1">
      <alignment vertical="center" wrapText="1"/>
    </xf>
    <xf numFmtId="165" fontId="0" fillId="0" borderId="1" xfId="0" applyNumberFormat="1" applyBorder="1" applyAlignment="1">
      <alignment wrapText="1"/>
    </xf>
    <xf numFmtId="41" fontId="0" fillId="0" borderId="1" xfId="1" applyFont="1" applyBorder="1" applyAlignment="1">
      <alignment wrapText="1"/>
    </xf>
    <xf numFmtId="3" fontId="0" fillId="9" borderId="1" xfId="0" applyNumberFormat="1" applyFill="1" applyBorder="1" applyAlignment="1">
      <alignment vertical="center" wrapText="1"/>
    </xf>
    <xf numFmtId="0" fontId="2" fillId="0" borderId="4" xfId="0" applyFont="1" applyBorder="1" applyAlignment="1">
      <alignment wrapText="1"/>
    </xf>
    <xf numFmtId="41" fontId="0" fillId="11" borderId="8" xfId="1" applyFont="1" applyFill="1" applyBorder="1" applyAlignment="1">
      <alignment vertical="center" wrapText="1"/>
    </xf>
    <xf numFmtId="41" fontId="0" fillId="2" borderId="8" xfId="1" applyFont="1" applyFill="1" applyBorder="1" applyAlignment="1">
      <alignment vertical="center" wrapText="1"/>
    </xf>
    <xf numFmtId="0" fontId="0" fillId="0" borderId="1" xfId="0" applyFill="1" applyBorder="1" applyAlignment="1">
      <alignment vertical="center" wrapText="1"/>
    </xf>
    <xf numFmtId="168" fontId="0" fillId="4" borderId="1" xfId="0" applyNumberFormat="1" applyFill="1" applyBorder="1" applyAlignment="1">
      <alignment horizontal="center" vertical="center" wrapText="1"/>
    </xf>
    <xf numFmtId="168" fontId="0" fillId="0" borderId="1" xfId="0" applyNumberFormat="1" applyBorder="1" applyAlignment="1">
      <alignment horizontal="center" vertical="center" wrapText="1"/>
    </xf>
    <xf numFmtId="2" fontId="0" fillId="0" borderId="1" xfId="0" applyNumberFormat="1" applyBorder="1" applyAlignment="1">
      <alignment wrapText="1"/>
    </xf>
    <xf numFmtId="41" fontId="0" fillId="5" borderId="1" xfId="1" applyFont="1" applyFill="1" applyBorder="1" applyAlignment="1">
      <alignment wrapText="1"/>
    </xf>
    <xf numFmtId="41" fontId="0" fillId="3" borderId="1" xfId="1" applyFont="1" applyFill="1" applyBorder="1" applyAlignment="1">
      <alignment horizontal="center" vertical="center" wrapText="1"/>
    </xf>
    <xf numFmtId="3" fontId="0" fillId="5" borderId="1" xfId="0" applyNumberFormat="1" applyFill="1" applyBorder="1" applyAlignment="1">
      <alignment vertical="center" wrapText="1"/>
    </xf>
    <xf numFmtId="9" fontId="0" fillId="0" borderId="1" xfId="0" applyNumberFormat="1" applyBorder="1" applyAlignment="1">
      <alignment horizontal="center" vertical="center" wrapText="1"/>
    </xf>
    <xf numFmtId="0" fontId="0" fillId="0" borderId="1" xfId="0" applyBorder="1" applyAlignment="1">
      <alignment horizontal="left" vertical="center" wrapText="1"/>
    </xf>
    <xf numFmtId="169" fontId="0" fillId="4" borderId="1" xfId="0" applyNumberFormat="1" applyFill="1" applyBorder="1" applyAlignment="1">
      <alignment horizontal="left" vertical="center" wrapText="1"/>
    </xf>
    <xf numFmtId="169" fontId="0" fillId="0" borderId="1" xfId="0" applyNumberFormat="1" applyBorder="1" applyAlignment="1">
      <alignment horizontal="left" vertical="center" wrapText="1"/>
    </xf>
    <xf numFmtId="0" fontId="0" fillId="8" borderId="1" xfId="0" applyFill="1" applyBorder="1" applyAlignment="1">
      <alignment vertical="center" wrapText="1"/>
    </xf>
    <xf numFmtId="3" fontId="0" fillId="8" borderId="1" xfId="0" applyNumberFormat="1" applyFill="1" applyBorder="1" applyAlignment="1">
      <alignment vertical="center" wrapText="1"/>
    </xf>
    <xf numFmtId="41" fontId="0" fillId="8" borderId="1" xfId="0" applyNumberFormat="1" applyFill="1" applyBorder="1" applyAlignment="1">
      <alignment horizontal="center" vertical="center"/>
    </xf>
    <xf numFmtId="3" fontId="0" fillId="8" borderId="1" xfId="0" applyNumberFormat="1" applyFill="1" applyBorder="1" applyAlignment="1">
      <alignment horizontal="center" vertical="center"/>
    </xf>
    <xf numFmtId="0" fontId="0" fillId="0" borderId="20" xfId="0" applyBorder="1" applyAlignment="1">
      <alignment horizontal="left" vertical="center" wrapText="1"/>
    </xf>
    <xf numFmtId="0" fontId="0" fillId="0" borderId="7" xfId="0" applyFill="1" applyBorder="1" applyAlignment="1">
      <alignment vertical="center" wrapText="1"/>
    </xf>
    <xf numFmtId="0" fontId="0" fillId="0" borderId="8" xfId="0" applyBorder="1" applyAlignment="1">
      <alignment wrapText="1"/>
    </xf>
    <xf numFmtId="0" fontId="0" fillId="0" borderId="8" xfId="0" applyBorder="1" applyAlignment="1">
      <alignment horizontal="center" vertical="center" wrapText="1"/>
    </xf>
    <xf numFmtId="0" fontId="0" fillId="0" borderId="27" xfId="0" applyBorder="1" applyAlignment="1">
      <alignment vertical="center" wrapText="1"/>
    </xf>
    <xf numFmtId="0" fontId="2" fillId="0" borderId="6" xfId="0" applyFont="1" applyBorder="1" applyAlignment="1">
      <alignment horizontal="left" vertical="center" wrapText="1"/>
    </xf>
    <xf numFmtId="0" fontId="0" fillId="0" borderId="4" xfId="0" applyBorder="1" applyAlignment="1">
      <alignment vertical="center" wrapText="1"/>
    </xf>
    <xf numFmtId="0" fontId="2" fillId="0" borderId="2" xfId="0" applyFont="1" applyBorder="1" applyAlignment="1">
      <alignment horizontal="center" wrapText="1"/>
    </xf>
    <xf numFmtId="3" fontId="0" fillId="0" borderId="2" xfId="0" applyNumberFormat="1" applyBorder="1" applyAlignment="1">
      <alignment horizontal="center" vertical="center" wrapText="1"/>
    </xf>
    <xf numFmtId="41" fontId="0" fillId="0" borderId="2" xfId="1" applyFont="1" applyBorder="1" applyAlignment="1">
      <alignment horizontal="center" vertical="center" wrapText="1"/>
    </xf>
    <xf numFmtId="169" fontId="0" fillId="4" borderId="2" xfId="0" applyNumberFormat="1" applyFill="1" applyBorder="1" applyAlignment="1">
      <alignment horizontal="left" vertical="center" wrapText="1"/>
    </xf>
    <xf numFmtId="169" fontId="0" fillId="0" borderId="2" xfId="0" applyNumberFormat="1" applyBorder="1" applyAlignment="1">
      <alignment horizontal="left" vertical="center" wrapText="1"/>
    </xf>
    <xf numFmtId="0" fontId="0" fillId="0" borderId="2" xfId="0" applyBorder="1" applyAlignment="1">
      <alignment horizontal="center" vertical="center" wrapText="1"/>
    </xf>
    <xf numFmtId="2" fontId="0" fillId="0" borderId="2" xfId="0" applyNumberFormat="1" applyBorder="1" applyAlignment="1">
      <alignment wrapText="1"/>
    </xf>
    <xf numFmtId="41" fontId="0" fillId="5" borderId="2" xfId="1" applyFont="1" applyFill="1" applyBorder="1" applyAlignment="1">
      <alignment wrapText="1"/>
    </xf>
    <xf numFmtId="3" fontId="0" fillId="5" borderId="2" xfId="0" applyNumberFormat="1" applyFill="1" applyBorder="1" applyAlignment="1">
      <alignment vertical="center" wrapText="1"/>
    </xf>
    <xf numFmtId="3" fontId="0" fillId="8" borderId="2" xfId="0" applyNumberFormat="1" applyFill="1" applyBorder="1" applyAlignment="1">
      <alignment vertical="center" wrapText="1"/>
    </xf>
    <xf numFmtId="41" fontId="0" fillId="7" borderId="2" xfId="1" applyFont="1" applyFill="1" applyBorder="1" applyAlignment="1">
      <alignment vertical="center" wrapText="1"/>
    </xf>
    <xf numFmtId="41" fontId="0" fillId="6" borderId="2" xfId="1" applyFont="1" applyFill="1" applyBorder="1" applyAlignment="1">
      <alignment vertical="center" wrapText="1"/>
    </xf>
    <xf numFmtId="9" fontId="0" fillId="0" borderId="2" xfId="0" applyNumberFormat="1" applyBorder="1" applyAlignment="1">
      <alignment horizontal="center" vertical="center" wrapText="1"/>
    </xf>
    <xf numFmtId="3" fontId="0" fillId="9" borderId="2" xfId="0" applyNumberFormat="1" applyFill="1" applyBorder="1" applyAlignment="1">
      <alignment vertical="center" wrapText="1"/>
    </xf>
    <xf numFmtId="0" fontId="0" fillId="0" borderId="21" xfId="0" applyBorder="1" applyAlignment="1">
      <alignment vertical="center" wrapText="1"/>
    </xf>
    <xf numFmtId="0" fontId="0" fillId="4" borderId="17" xfId="0" applyFill="1" applyBorder="1" applyAlignment="1">
      <alignment wrapText="1"/>
    </xf>
    <xf numFmtId="0" fontId="0" fillId="0" borderId="17" xfId="0" applyBorder="1" applyAlignment="1">
      <alignment wrapText="1"/>
    </xf>
    <xf numFmtId="0" fontId="0" fillId="0" borderId="18" xfId="0" applyBorder="1" applyAlignment="1">
      <alignment vertical="center" wrapText="1"/>
    </xf>
    <xf numFmtId="41" fontId="0" fillId="0" borderId="3" xfId="0" applyNumberFormat="1" applyBorder="1" applyAlignment="1">
      <alignment wrapText="1"/>
    </xf>
    <xf numFmtId="164" fontId="0" fillId="0" borderId="3" xfId="0" applyNumberFormat="1" applyBorder="1" applyAlignment="1">
      <alignment wrapText="1"/>
    </xf>
    <xf numFmtId="41" fontId="0" fillId="4" borderId="3" xfId="0" applyNumberFormat="1" applyFill="1" applyBorder="1" applyAlignment="1">
      <alignment wrapText="1"/>
    </xf>
    <xf numFmtId="0" fontId="0" fillId="0" borderId="3" xfId="0" applyBorder="1" applyAlignment="1">
      <alignment wrapText="1"/>
    </xf>
    <xf numFmtId="0" fontId="0" fillId="7" borderId="3" xfId="0" applyFill="1" applyBorder="1" applyAlignment="1">
      <alignment wrapText="1"/>
    </xf>
    <xf numFmtId="0" fontId="0" fillId="6" borderId="3" xfId="0" applyFill="1" applyBorder="1" applyAlignment="1">
      <alignment wrapText="1"/>
    </xf>
    <xf numFmtId="165" fontId="0" fillId="0" borderId="3" xfId="0" applyNumberFormat="1" applyBorder="1" applyAlignment="1">
      <alignment wrapText="1"/>
    </xf>
    <xf numFmtId="0" fontId="0" fillId="5" borderId="17" xfId="0" applyFill="1" applyBorder="1" applyAlignment="1">
      <alignment vertical="center" wrapText="1"/>
    </xf>
    <xf numFmtId="0" fontId="0" fillId="8" borderId="17" xfId="0" applyFill="1" applyBorder="1" applyAlignment="1">
      <alignment vertical="center" wrapText="1"/>
    </xf>
    <xf numFmtId="0" fontId="0" fillId="7" borderId="17" xfId="0" applyFill="1" applyBorder="1" applyAlignment="1">
      <alignment wrapText="1"/>
    </xf>
    <xf numFmtId="0" fontId="0" fillId="6" borderId="17" xfId="0" applyFill="1" applyBorder="1" applyAlignment="1">
      <alignment wrapText="1"/>
    </xf>
    <xf numFmtId="0" fontId="0" fillId="0" borderId="28" xfId="0" applyBorder="1"/>
    <xf numFmtId="0" fontId="0" fillId="9" borderId="17" xfId="0" applyFill="1" applyBorder="1" applyAlignment="1">
      <alignment wrapText="1"/>
    </xf>
    <xf numFmtId="0" fontId="0" fillId="10" borderId="17" xfId="0" applyFill="1" applyBorder="1" applyAlignment="1">
      <alignment wrapText="1"/>
    </xf>
    <xf numFmtId="0" fontId="0" fillId="0" borderId="18" xfId="0" applyBorder="1" applyAlignment="1">
      <alignment horizontal="left" vertical="center" wrapText="1"/>
    </xf>
    <xf numFmtId="0" fontId="2" fillId="0" borderId="6" xfId="0" applyFont="1" applyBorder="1" applyAlignment="1">
      <alignment horizontal="center" vertical="center" wrapText="1"/>
    </xf>
    <xf numFmtId="0" fontId="0" fillId="0" borderId="17" xfId="0" applyBorder="1" applyAlignment="1">
      <alignment vertical="center" wrapText="1"/>
    </xf>
    <xf numFmtId="0" fontId="0" fillId="0" borderId="17" xfId="0" applyBorder="1" applyAlignment="1">
      <alignment horizontal="left" vertical="center" wrapText="1"/>
    </xf>
    <xf numFmtId="41" fontId="0" fillId="5" borderId="1" xfId="1" applyFont="1" applyFill="1" applyBorder="1" applyAlignment="1">
      <alignment vertical="center" wrapText="1"/>
    </xf>
    <xf numFmtId="41" fontId="0" fillId="5" borderId="2" xfId="1" applyFont="1" applyFill="1" applyBorder="1" applyAlignment="1">
      <alignment vertical="center" wrapText="1"/>
    </xf>
    <xf numFmtId="0" fontId="0" fillId="0" borderId="3" xfId="0" applyBorder="1" applyAlignment="1">
      <alignment horizontal="left" vertical="center" wrapText="1"/>
    </xf>
    <xf numFmtId="2" fontId="0" fillId="0" borderId="1" xfId="0" applyNumberFormat="1" applyBorder="1" applyAlignment="1">
      <alignment horizontal="center" vertical="center" wrapText="1"/>
    </xf>
    <xf numFmtId="2" fontId="0" fillId="0" borderId="2" xfId="0" applyNumberFormat="1" applyBorder="1" applyAlignment="1">
      <alignment horizontal="center" vertical="center" wrapText="1"/>
    </xf>
    <xf numFmtId="169" fontId="2" fillId="4" borderId="1" xfId="0" applyNumberFormat="1" applyFont="1" applyFill="1" applyBorder="1" applyAlignment="1">
      <alignment horizontal="left" vertical="center" wrapText="1"/>
    </xf>
    <xf numFmtId="169" fontId="2" fillId="4" borderId="2" xfId="0" applyNumberFormat="1" applyFont="1" applyFill="1" applyBorder="1" applyAlignment="1">
      <alignment horizontal="left" vertical="center" wrapText="1"/>
    </xf>
    <xf numFmtId="3" fontId="0" fillId="5" borderId="1" xfId="0" applyNumberFormat="1" applyFill="1" applyBorder="1" applyAlignment="1">
      <alignment horizontal="center" vertical="center" wrapText="1"/>
    </xf>
    <xf numFmtId="3" fontId="0" fillId="5" borderId="2" xfId="0" applyNumberFormat="1" applyFill="1" applyBorder="1" applyAlignment="1">
      <alignment horizontal="center" vertical="center" wrapText="1"/>
    </xf>
    <xf numFmtId="41" fontId="0" fillId="5" borderId="1" xfId="1" applyFont="1" applyFill="1" applyBorder="1" applyAlignment="1">
      <alignment horizontal="center" vertical="center" wrapText="1"/>
    </xf>
    <xf numFmtId="41" fontId="0" fillId="5" borderId="2" xfId="1" applyFont="1" applyFill="1" applyBorder="1" applyAlignment="1">
      <alignment horizontal="center" vertical="center" wrapText="1"/>
    </xf>
    <xf numFmtId="0" fontId="0" fillId="0" borderId="20" xfId="0" applyBorder="1" applyAlignment="1">
      <alignment horizontal="left" vertical="center" wrapText="1"/>
    </xf>
    <xf numFmtId="0" fontId="0" fillId="4" borderId="1" xfId="0" applyFill="1" applyBorder="1" applyAlignment="1">
      <alignment horizontal="center" vertical="center" wrapText="1"/>
    </xf>
    <xf numFmtId="41" fontId="0" fillId="0" borderId="3" xfId="0" applyNumberFormat="1" applyBorder="1" applyAlignment="1">
      <alignment horizontal="left" vertical="center" wrapText="1"/>
    </xf>
    <xf numFmtId="164" fontId="0" fillId="0" borderId="0" xfId="0" applyNumberFormat="1"/>
    <xf numFmtId="43" fontId="0" fillId="0" borderId="0" xfId="0" applyNumberFormat="1"/>
    <xf numFmtId="0" fontId="0" fillId="4" borderId="30" xfId="0" applyFill="1" applyBorder="1" applyAlignment="1">
      <alignment wrapText="1"/>
    </xf>
    <xf numFmtId="0" fontId="0" fillId="4" borderId="17" xfId="0" applyFill="1" applyBorder="1" applyAlignment="1">
      <alignment horizontal="left" vertical="center" wrapText="1"/>
    </xf>
    <xf numFmtId="41" fontId="0" fillId="4" borderId="3" xfId="0" applyNumberFormat="1" applyFill="1" applyBorder="1" applyAlignment="1">
      <alignment horizontal="left" vertical="center" wrapText="1"/>
    </xf>
    <xf numFmtId="41" fontId="0" fillId="4" borderId="31" xfId="0" applyNumberFormat="1" applyFill="1" applyBorder="1" applyAlignment="1">
      <alignment horizontal="center" vertical="center"/>
    </xf>
    <xf numFmtId="0" fontId="0" fillId="0" borderId="16" xfId="0" applyBorder="1"/>
    <xf numFmtId="0" fontId="0" fillId="0" borderId="17" xfId="0" applyBorder="1"/>
    <xf numFmtId="0" fontId="0" fillId="0" borderId="6" xfId="0" applyBorder="1" applyAlignment="1">
      <alignment wrapText="1"/>
    </xf>
    <xf numFmtId="0" fontId="0" fillId="0" borderId="8" xfId="0" applyBorder="1" applyAlignment="1">
      <alignment horizontal="center" vertical="center"/>
    </xf>
    <xf numFmtId="0" fontId="0" fillId="0" borderId="27" xfId="0" applyBorder="1" applyAlignment="1">
      <alignment horizontal="center" vertical="center"/>
    </xf>
    <xf numFmtId="3" fontId="0" fillId="0" borderId="1" xfId="0" applyNumberFormat="1" applyBorder="1" applyAlignment="1"/>
    <xf numFmtId="41" fontId="0" fillId="4" borderId="1" xfId="0" applyNumberFormat="1" applyFill="1" applyBorder="1" applyAlignment="1"/>
    <xf numFmtId="41" fontId="0" fillId="0" borderId="1" xfId="0" applyNumberFormat="1" applyBorder="1" applyAlignment="1"/>
    <xf numFmtId="0" fontId="0" fillId="0" borderId="1" xfId="0" applyBorder="1" applyAlignment="1"/>
    <xf numFmtId="41" fontId="0" fillId="3" borderId="1" xfId="1" applyFont="1" applyFill="1" applyBorder="1" applyAlignment="1"/>
    <xf numFmtId="41" fontId="0" fillId="8" borderId="1" xfId="1" applyFont="1" applyFill="1" applyBorder="1" applyAlignment="1">
      <alignment horizontal="center" vertical="center"/>
    </xf>
    <xf numFmtId="3" fontId="0" fillId="10" borderId="4" xfId="0" applyNumberFormat="1" applyFill="1" applyBorder="1" applyAlignment="1">
      <alignment vertical="center"/>
    </xf>
    <xf numFmtId="0" fontId="2" fillId="0" borderId="19" xfId="0" applyFont="1" applyBorder="1"/>
    <xf numFmtId="0" fontId="0" fillId="0" borderId="8" xfId="0" applyBorder="1" applyAlignment="1">
      <alignment vertical="center"/>
    </xf>
    <xf numFmtId="0" fontId="0" fillId="0" borderId="27" xfId="0" applyBorder="1" applyAlignment="1">
      <alignment vertical="center"/>
    </xf>
    <xf numFmtId="0" fontId="0" fillId="0" borderId="2" xfId="0" applyBorder="1"/>
    <xf numFmtId="0" fontId="0" fillId="8" borderId="2" xfId="0" applyFill="1" applyBorder="1" applyAlignment="1">
      <alignment wrapText="1"/>
    </xf>
    <xf numFmtId="0" fontId="2" fillId="0" borderId="36" xfId="0" applyFont="1" applyBorder="1" applyAlignment="1">
      <alignment horizontal="center"/>
    </xf>
    <xf numFmtId="0" fontId="2" fillId="0" borderId="37" xfId="0" applyFont="1" applyBorder="1" applyAlignment="1">
      <alignment horizontal="center"/>
    </xf>
    <xf numFmtId="3" fontId="0" fillId="0" borderId="36" xfId="0" applyNumberFormat="1" applyBorder="1" applyAlignment="1"/>
    <xf numFmtId="3" fontId="0" fillId="0" borderId="37" xfId="0" applyNumberFormat="1" applyBorder="1" applyAlignment="1"/>
    <xf numFmtId="41" fontId="0" fillId="4" borderId="36" xfId="0" applyNumberFormat="1" applyFill="1" applyBorder="1" applyAlignment="1"/>
    <xf numFmtId="41" fontId="0" fillId="4" borderId="37" xfId="0" applyNumberFormat="1" applyFill="1" applyBorder="1" applyAlignment="1"/>
    <xf numFmtId="41" fontId="0" fillId="0" borderId="36" xfId="0" applyNumberFormat="1" applyBorder="1" applyAlignment="1"/>
    <xf numFmtId="41" fontId="0" fillId="0" borderId="37" xfId="0" applyNumberFormat="1" applyBorder="1" applyAlignment="1"/>
    <xf numFmtId="0" fontId="0" fillId="0" borderId="36" xfId="0" applyBorder="1" applyAlignment="1"/>
    <xf numFmtId="0" fontId="0" fillId="0" borderId="37" xfId="0" applyBorder="1" applyAlignment="1"/>
    <xf numFmtId="41" fontId="0" fillId="3" borderId="36" xfId="1" applyFont="1" applyFill="1" applyBorder="1" applyAlignment="1"/>
    <xf numFmtId="41" fontId="0" fillId="3" borderId="37" xfId="1" applyFont="1" applyFill="1" applyBorder="1" applyAlignment="1"/>
    <xf numFmtId="41" fontId="0" fillId="5" borderId="36" xfId="1" applyFont="1" applyFill="1" applyBorder="1" applyAlignment="1">
      <alignment vertical="center"/>
    </xf>
    <xf numFmtId="41" fontId="0" fillId="5" borderId="37" xfId="1" applyFont="1" applyFill="1" applyBorder="1" applyAlignment="1">
      <alignment vertical="center"/>
    </xf>
    <xf numFmtId="41" fontId="0" fillId="0" borderId="36" xfId="1" applyFont="1" applyBorder="1" applyAlignment="1">
      <alignment horizontal="center" vertical="center"/>
    </xf>
    <xf numFmtId="41" fontId="0" fillId="0" borderId="37" xfId="1" applyFont="1" applyBorder="1" applyAlignment="1">
      <alignment horizontal="center" vertical="center"/>
    </xf>
    <xf numFmtId="41" fontId="0" fillId="7" borderId="36" xfId="1" applyFont="1" applyFill="1" applyBorder="1" applyAlignment="1">
      <alignment vertical="center"/>
    </xf>
    <xf numFmtId="41" fontId="0" fillId="7" borderId="37" xfId="1" applyFont="1" applyFill="1" applyBorder="1" applyAlignment="1">
      <alignment vertical="center"/>
    </xf>
    <xf numFmtId="41" fontId="0" fillId="6" borderId="36" xfId="1" applyFont="1" applyFill="1" applyBorder="1" applyAlignment="1">
      <alignment vertical="center"/>
    </xf>
    <xf numFmtId="41" fontId="0" fillId="6" borderId="37" xfId="1" applyFont="1" applyFill="1" applyBorder="1" applyAlignment="1">
      <alignment vertical="center"/>
    </xf>
    <xf numFmtId="41" fontId="0" fillId="8" borderId="36" xfId="1" applyFont="1" applyFill="1" applyBorder="1" applyAlignment="1">
      <alignment horizontal="center" vertical="center"/>
    </xf>
    <xf numFmtId="41" fontId="0" fillId="8" borderId="37" xfId="1" applyFont="1" applyFill="1" applyBorder="1" applyAlignment="1">
      <alignment horizontal="center" vertical="center"/>
    </xf>
    <xf numFmtId="0" fontId="0" fillId="0" borderId="36" xfId="0" applyBorder="1" applyAlignment="1">
      <alignment vertical="center"/>
    </xf>
    <xf numFmtId="0" fontId="0" fillId="0" borderId="37" xfId="0" applyBorder="1" applyAlignment="1">
      <alignment vertical="center"/>
    </xf>
    <xf numFmtId="0" fontId="0" fillId="0" borderId="36" xfId="0" applyBorder="1" applyAlignment="1">
      <alignment horizontal="center" vertical="center"/>
    </xf>
    <xf numFmtId="0" fontId="0" fillId="0" borderId="37" xfId="0" applyBorder="1" applyAlignment="1">
      <alignment horizontal="center" vertical="center"/>
    </xf>
    <xf numFmtId="3" fontId="0" fillId="9" borderId="36" xfId="0" applyNumberFormat="1" applyFill="1" applyBorder="1" applyAlignment="1">
      <alignment vertical="center"/>
    </xf>
    <xf numFmtId="3" fontId="0" fillId="9" borderId="37" xfId="0" applyNumberFormat="1" applyFill="1" applyBorder="1" applyAlignment="1">
      <alignment vertical="center"/>
    </xf>
    <xf numFmtId="3" fontId="0" fillId="10" borderId="38" xfId="0" applyNumberFormat="1" applyFill="1" applyBorder="1" applyAlignment="1">
      <alignment vertical="center"/>
    </xf>
    <xf numFmtId="3" fontId="0" fillId="10" borderId="39" xfId="0" applyNumberFormat="1" applyFill="1" applyBorder="1" applyAlignment="1">
      <alignment vertical="center"/>
    </xf>
    <xf numFmtId="0" fontId="0" fillId="0" borderId="7" xfId="0" applyBorder="1" applyAlignment="1">
      <alignment vertical="center"/>
    </xf>
    <xf numFmtId="0" fontId="0" fillId="4" borderId="2" xfId="0" applyFill="1" applyBorder="1" applyAlignment="1">
      <alignment wrapText="1"/>
    </xf>
    <xf numFmtId="0" fontId="0" fillId="4" borderId="2" xfId="0" applyFill="1" applyBorder="1"/>
    <xf numFmtId="0" fontId="0" fillId="3" borderId="2" xfId="0" applyFill="1" applyBorder="1" applyAlignment="1">
      <alignment vertical="center" wrapText="1"/>
    </xf>
    <xf numFmtId="0" fontId="0" fillId="5" borderId="2" xfId="0" applyFill="1" applyBorder="1" applyAlignment="1">
      <alignment vertical="center" wrapText="1"/>
    </xf>
    <xf numFmtId="0" fontId="0" fillId="0" borderId="2" xfId="0" applyBorder="1" applyAlignment="1">
      <alignment horizontal="left" vertical="center" wrapText="1"/>
    </xf>
    <xf numFmtId="0" fontId="0" fillId="0" borderId="2" xfId="0" applyBorder="1" applyAlignment="1">
      <alignment horizontal="left" vertical="center"/>
    </xf>
    <xf numFmtId="0" fontId="0" fillId="7" borderId="2" xfId="0" applyFill="1" applyBorder="1" applyAlignment="1">
      <alignment wrapText="1"/>
    </xf>
    <xf numFmtId="0" fontId="0" fillId="6" borderId="2" xfId="0" applyFill="1" applyBorder="1" applyAlignment="1">
      <alignment horizontal="left" vertical="center" wrapText="1"/>
    </xf>
    <xf numFmtId="0" fontId="0" fillId="8" borderId="2" xfId="0" applyFill="1" applyBorder="1" applyAlignment="1">
      <alignment horizontal="left" vertical="center" wrapText="1"/>
    </xf>
    <xf numFmtId="0" fontId="0" fillId="9" borderId="2" xfId="0" applyFill="1" applyBorder="1" applyAlignment="1">
      <alignment wrapText="1"/>
    </xf>
    <xf numFmtId="0" fontId="0" fillId="10" borderId="21" xfId="0" applyFill="1" applyBorder="1" applyAlignment="1">
      <alignment wrapText="1"/>
    </xf>
    <xf numFmtId="0" fontId="0" fillId="0" borderId="12" xfId="0" applyBorder="1" applyAlignment="1">
      <alignment vertical="center" wrapText="1"/>
    </xf>
    <xf numFmtId="41" fontId="0" fillId="0" borderId="17" xfId="0" applyNumberFormat="1" applyBorder="1"/>
    <xf numFmtId="164" fontId="0" fillId="0" borderId="17" xfId="0" applyNumberFormat="1" applyBorder="1"/>
    <xf numFmtId="41" fontId="0" fillId="4" borderId="17" xfId="0" applyNumberFormat="1" applyFill="1" applyBorder="1"/>
    <xf numFmtId="0" fontId="0" fillId="8" borderId="17" xfId="0" applyFill="1" applyBorder="1" applyAlignment="1">
      <alignment wrapText="1"/>
    </xf>
    <xf numFmtId="165" fontId="0" fillId="0" borderId="17" xfId="0" applyNumberFormat="1" applyBorder="1"/>
    <xf numFmtId="41" fontId="0" fillId="0" borderId="17" xfId="1" applyFont="1" applyBorder="1"/>
    <xf numFmtId="0" fontId="0" fillId="11" borderId="12" xfId="0" applyFill="1" applyBorder="1" applyAlignment="1">
      <alignment horizontal="left" vertical="center" wrapText="1"/>
    </xf>
    <xf numFmtId="0" fontId="0" fillId="2" borderId="12" xfId="0" applyFill="1" applyBorder="1" applyAlignment="1">
      <alignment horizontal="left" vertical="center" wrapText="1"/>
    </xf>
    <xf numFmtId="0" fontId="0" fillId="0" borderId="12" xfId="0" applyFill="1" applyBorder="1" applyAlignment="1">
      <alignment vertical="center"/>
    </xf>
    <xf numFmtId="41" fontId="0" fillId="11" borderId="40" xfId="1" applyFont="1" applyFill="1" applyBorder="1" applyAlignment="1">
      <alignment vertical="center"/>
    </xf>
    <xf numFmtId="41" fontId="0" fillId="2" borderId="40" xfId="1" applyFont="1" applyFill="1" applyBorder="1" applyAlignment="1">
      <alignment vertical="center"/>
    </xf>
    <xf numFmtId="0" fontId="0" fillId="0" borderId="40" xfId="0" applyBorder="1" applyAlignment="1">
      <alignment horizontal="center" vertical="center"/>
    </xf>
    <xf numFmtId="0" fontId="0" fillId="11" borderId="6" xfId="0" applyFill="1" applyBorder="1" applyAlignment="1">
      <alignment horizontal="left" vertical="center" wrapText="1"/>
    </xf>
    <xf numFmtId="0" fontId="0" fillId="2" borderId="6" xfId="0" applyFill="1" applyBorder="1" applyAlignment="1">
      <alignment horizontal="left" vertical="center" wrapText="1"/>
    </xf>
    <xf numFmtId="0" fontId="0" fillId="0" borderId="6" xfId="0" applyBorder="1" applyAlignment="1">
      <alignment horizontal="left" vertical="center" wrapText="1"/>
    </xf>
    <xf numFmtId="0" fontId="0" fillId="3" borderId="17" xfId="0" applyFill="1" applyBorder="1" applyAlignment="1">
      <alignment horizontal="left" vertical="center"/>
    </xf>
    <xf numFmtId="0" fontId="2" fillId="0" borderId="6" xfId="0" applyFont="1" applyBorder="1" applyAlignment="1">
      <alignment horizontal="center" vertical="center"/>
    </xf>
    <xf numFmtId="0" fontId="2" fillId="0" borderId="23" xfId="0" applyFont="1" applyBorder="1" applyAlignment="1">
      <alignment horizontal="center" vertical="center"/>
    </xf>
    <xf numFmtId="0" fontId="2" fillId="0" borderId="41" xfId="0" applyFont="1" applyBorder="1" applyAlignment="1">
      <alignment horizontal="center" vertical="center"/>
    </xf>
    <xf numFmtId="41" fontId="0" fillId="13" borderId="36" xfId="1" applyFont="1" applyFill="1" applyBorder="1" applyAlignment="1"/>
    <xf numFmtId="41" fontId="0" fillId="13" borderId="1" xfId="1" applyFont="1" applyFill="1" applyBorder="1" applyAlignment="1"/>
    <xf numFmtId="41" fontId="0" fillId="13" borderId="37" xfId="1" applyFont="1" applyFill="1" applyBorder="1" applyAlignment="1"/>
    <xf numFmtId="41" fontId="0" fillId="7" borderId="36" xfId="0" applyNumberFormat="1" applyFill="1" applyBorder="1" applyAlignment="1"/>
    <xf numFmtId="41" fontId="0" fillId="7" borderId="1" xfId="0" applyNumberFormat="1" applyFill="1" applyBorder="1" applyAlignment="1"/>
    <xf numFmtId="41" fontId="0" fillId="7" borderId="37" xfId="0" applyNumberFormat="1" applyFill="1" applyBorder="1" applyAlignment="1"/>
    <xf numFmtId="0" fontId="0" fillId="0" borderId="36" xfId="0" applyBorder="1" applyAlignment="1">
      <alignment horizontal="center"/>
    </xf>
    <xf numFmtId="0" fontId="0" fillId="0" borderId="1" xfId="0" applyBorder="1" applyAlignment="1">
      <alignment horizontal="center"/>
    </xf>
    <xf numFmtId="0" fontId="0" fillId="0" borderId="37" xfId="0" applyBorder="1" applyAlignment="1">
      <alignment horizontal="center"/>
    </xf>
    <xf numFmtId="2" fontId="2" fillId="0" borderId="36" xfId="0" applyNumberFormat="1" applyFont="1" applyBorder="1" applyAlignment="1"/>
    <xf numFmtId="2" fontId="2" fillId="0" borderId="1" xfId="0" applyNumberFormat="1" applyFont="1" applyBorder="1" applyAlignment="1"/>
    <xf numFmtId="2" fontId="2" fillId="0" borderId="37" xfId="0" applyNumberFormat="1" applyFont="1" applyBorder="1" applyAlignment="1"/>
    <xf numFmtId="0" fontId="2" fillId="0" borderId="17" xfId="0" applyFont="1" applyBorder="1"/>
    <xf numFmtId="0" fontId="0" fillId="10" borderId="20" xfId="0" applyFill="1" applyBorder="1" applyAlignment="1">
      <alignment horizontal="left" vertical="center" wrapText="1"/>
    </xf>
    <xf numFmtId="0" fontId="0" fillId="10" borderId="11" xfId="0" applyFill="1" applyBorder="1" applyAlignment="1">
      <alignment horizontal="left" vertical="center" wrapText="1"/>
    </xf>
    <xf numFmtId="0" fontId="0" fillId="9" borderId="30" xfId="0" applyFill="1" applyBorder="1" applyAlignment="1">
      <alignment horizontal="left" vertical="center" wrapText="1"/>
    </xf>
    <xf numFmtId="0" fontId="0" fillId="9" borderId="29" xfId="0" applyFill="1"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11" borderId="25" xfId="0" applyFill="1" applyBorder="1" applyAlignment="1">
      <alignment horizontal="left" vertical="center" wrapText="1"/>
    </xf>
    <xf numFmtId="0" fontId="0" fillId="11" borderId="26" xfId="0" applyFill="1" applyBorder="1" applyAlignment="1">
      <alignment horizontal="left" vertical="center" wrapText="1"/>
    </xf>
    <xf numFmtId="0" fontId="0" fillId="2" borderId="23" xfId="0" applyFill="1" applyBorder="1" applyAlignment="1">
      <alignment horizontal="left" vertical="center" wrapText="1"/>
    </xf>
    <xf numFmtId="0" fontId="0" fillId="2" borderId="24" xfId="0" applyFill="1" applyBorder="1" applyAlignment="1">
      <alignment horizontal="left" vertical="center" wrapText="1"/>
    </xf>
    <xf numFmtId="0" fontId="0" fillId="8" borderId="20" xfId="0" applyFill="1" applyBorder="1" applyAlignment="1">
      <alignment horizontal="left" vertical="center" wrapText="1"/>
    </xf>
    <xf numFmtId="0" fontId="0" fillId="8" borderId="11" xfId="0" applyFill="1" applyBorder="1" applyAlignment="1">
      <alignment horizontal="left" vertical="center" wrapText="1"/>
    </xf>
    <xf numFmtId="0" fontId="0" fillId="8" borderId="30" xfId="0" applyFill="1" applyBorder="1" applyAlignment="1">
      <alignment horizontal="left" vertical="center" wrapText="1"/>
    </xf>
    <xf numFmtId="0" fontId="0" fillId="8" borderId="29" xfId="0" applyFill="1" applyBorder="1" applyAlignment="1">
      <alignment horizontal="left" vertical="center" wrapText="1"/>
    </xf>
    <xf numFmtId="0" fontId="0" fillId="7" borderId="30" xfId="0" applyFill="1" applyBorder="1" applyAlignment="1">
      <alignment horizontal="left" vertical="center" wrapText="1"/>
    </xf>
    <xf numFmtId="0" fontId="0" fillId="7" borderId="29" xfId="0" applyFill="1" applyBorder="1" applyAlignment="1">
      <alignment horizontal="left" vertical="center" wrapText="1"/>
    </xf>
    <xf numFmtId="165" fontId="0" fillId="0" borderId="20" xfId="0" applyNumberFormat="1" applyBorder="1" applyAlignment="1">
      <alignment horizontal="left" vertical="center" wrapText="1"/>
    </xf>
    <xf numFmtId="165" fontId="0" fillId="0" borderId="11" xfId="0" applyNumberFormat="1" applyBorder="1" applyAlignment="1">
      <alignment horizontal="left" vertical="center" wrapText="1"/>
    </xf>
    <xf numFmtId="0" fontId="0" fillId="0" borderId="30" xfId="0" applyBorder="1" applyAlignment="1">
      <alignment horizontal="left" vertical="center" wrapText="1"/>
    </xf>
    <xf numFmtId="0" fontId="0" fillId="0" borderId="29" xfId="0" applyBorder="1" applyAlignment="1">
      <alignment horizontal="left" vertical="center" wrapText="1"/>
    </xf>
    <xf numFmtId="0" fontId="0" fillId="0" borderId="20" xfId="0" applyBorder="1" applyAlignment="1">
      <alignment horizontal="left" vertical="center" wrapText="1"/>
    </xf>
    <xf numFmtId="0" fontId="0" fillId="0" borderId="11" xfId="0" applyBorder="1" applyAlignment="1">
      <alignment horizontal="left" vertical="center" wrapText="1"/>
    </xf>
    <xf numFmtId="0" fontId="0" fillId="5" borderId="20" xfId="0" applyFill="1" applyBorder="1" applyAlignment="1">
      <alignment horizontal="left" vertical="center" wrapText="1"/>
    </xf>
    <xf numFmtId="0" fontId="0" fillId="5" borderId="11" xfId="0" applyFill="1" applyBorder="1" applyAlignment="1">
      <alignment horizontal="left" vertical="center" wrapText="1"/>
    </xf>
    <xf numFmtId="0" fontId="0" fillId="5" borderId="30" xfId="0" applyFill="1" applyBorder="1" applyAlignment="1">
      <alignment horizontal="left" vertical="center" wrapText="1"/>
    </xf>
    <xf numFmtId="0" fontId="0" fillId="5" borderId="29" xfId="0" applyFill="1" applyBorder="1" applyAlignment="1">
      <alignment horizontal="left" vertical="center" wrapText="1"/>
    </xf>
    <xf numFmtId="0" fontId="2" fillId="0" borderId="23" xfId="0" applyFont="1" applyBorder="1" applyAlignment="1">
      <alignment horizontal="center" vertical="center" wrapText="1"/>
    </xf>
    <xf numFmtId="0" fontId="2" fillId="0" borderId="29" xfId="0" applyFont="1" applyBorder="1" applyAlignment="1">
      <alignment horizontal="center" vertical="center" wrapText="1"/>
    </xf>
    <xf numFmtId="41" fontId="2" fillId="0" borderId="31" xfId="1" applyFont="1" applyBorder="1" applyAlignment="1">
      <alignment horizontal="center" vertical="center" wrapText="1"/>
    </xf>
    <xf numFmtId="41" fontId="2" fillId="0" borderId="11" xfId="1" applyFont="1" applyBorder="1" applyAlignment="1">
      <alignment horizontal="center" vertical="center" wrapText="1"/>
    </xf>
    <xf numFmtId="0" fontId="2" fillId="0" borderId="9" xfId="0" applyFont="1" applyBorder="1" applyAlignment="1">
      <alignment horizontal="center" wrapText="1"/>
    </xf>
    <xf numFmtId="0" fontId="2" fillId="0" borderId="10" xfId="0" applyFont="1" applyBorder="1" applyAlignment="1">
      <alignment horizontal="center" wrapText="1"/>
    </xf>
    <xf numFmtId="0" fontId="0" fillId="0" borderId="23" xfId="0" applyBorder="1" applyAlignment="1">
      <alignment horizontal="left" vertical="center" wrapText="1"/>
    </xf>
    <xf numFmtId="0" fontId="0" fillId="0" borderId="28" xfId="0" applyBorder="1" applyAlignment="1">
      <alignment horizontal="left"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15"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0" fillId="0" borderId="24" xfId="0" applyBorder="1" applyAlignment="1">
      <alignment horizontal="left" vertical="center" wrapText="1"/>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0" fillId="2" borderId="12" xfId="0" applyFont="1" applyFill="1" applyBorder="1" applyAlignment="1">
      <alignment horizontal="left" vertical="center" wrapText="1"/>
    </xf>
    <xf numFmtId="0" fontId="0" fillId="2" borderId="13"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12" borderId="30" xfId="0" applyFill="1" applyBorder="1" applyAlignment="1">
      <alignment horizontal="left" vertical="center" wrapText="1"/>
    </xf>
    <xf numFmtId="0" fontId="0" fillId="12" borderId="29" xfId="0" applyFill="1" applyBorder="1" applyAlignment="1">
      <alignment horizontal="left" vertical="center" wrapText="1"/>
    </xf>
    <xf numFmtId="0" fontId="0" fillId="12" borderId="30" xfId="0" applyFill="1" applyBorder="1" applyAlignment="1">
      <alignment horizontal="left" wrapText="1"/>
    </xf>
    <xf numFmtId="0" fontId="0" fillId="12" borderId="29" xfId="0" applyFill="1" applyBorder="1" applyAlignment="1">
      <alignment horizontal="left" wrapText="1"/>
    </xf>
    <xf numFmtId="0" fontId="4" fillId="4" borderId="47" xfId="2" applyFont="1" applyFill="1" applyBorder="1" applyAlignment="1" applyProtection="1">
      <alignment horizontal="left" vertical="center" wrapText="1"/>
      <protection locked="0"/>
    </xf>
    <xf numFmtId="0" fontId="4" fillId="4" borderId="42" xfId="2" applyFont="1" applyFill="1" applyBorder="1" applyAlignment="1" applyProtection="1">
      <alignment horizontal="left" vertical="center" wrapText="1"/>
      <protection locked="0"/>
    </xf>
    <xf numFmtId="0" fontId="4" fillId="4" borderId="43" xfId="2" applyFont="1" applyFill="1" applyBorder="1" applyAlignment="1" applyProtection="1">
      <alignment horizontal="left" vertical="center" wrapText="1"/>
      <protection locked="0"/>
    </xf>
    <xf numFmtId="0" fontId="4" fillId="4" borderId="45" xfId="2" applyFont="1" applyFill="1" applyBorder="1" applyAlignment="1" applyProtection="1">
      <alignment horizontal="left" vertical="center" wrapText="1"/>
      <protection locked="0"/>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8" xfId="0" applyFont="1" applyBorder="1" applyAlignment="1">
      <alignment horizontal="center" vertical="center"/>
    </xf>
    <xf numFmtId="0" fontId="4" fillId="12" borderId="44" xfId="2" applyFont="1" applyFill="1" applyBorder="1" applyAlignment="1">
      <alignment horizontal="left" vertical="center" wrapText="1"/>
    </xf>
    <xf numFmtId="0" fontId="4" fillId="12" borderId="46" xfId="2" applyFont="1" applyFill="1" applyBorder="1" applyAlignment="1">
      <alignment horizontal="left" vertical="center" wrapText="1"/>
    </xf>
    <xf numFmtId="0" fontId="6" fillId="4" borderId="33" xfId="2" applyFont="1" applyFill="1" applyBorder="1" applyAlignment="1">
      <alignment horizontal="left" vertical="center" wrapText="1"/>
    </xf>
    <xf numFmtId="0" fontId="6" fillId="4" borderId="44" xfId="2" applyFont="1" applyFill="1" applyBorder="1" applyAlignment="1">
      <alignment horizontal="left" vertical="center" wrapText="1"/>
    </xf>
    <xf numFmtId="0" fontId="4" fillId="4" borderId="44" xfId="2" applyNumberFormat="1" applyFont="1" applyFill="1" applyBorder="1" applyAlignment="1">
      <alignment horizontal="left" vertical="center" wrapText="1"/>
    </xf>
    <xf numFmtId="0" fontId="4" fillId="4" borderId="44" xfId="2" applyFont="1" applyFill="1" applyBorder="1" applyAlignment="1">
      <alignment horizontal="left" vertical="center" wrapText="1"/>
    </xf>
    <xf numFmtId="0" fontId="4" fillId="4" borderId="46" xfId="2" applyFont="1" applyFill="1" applyBorder="1" applyAlignment="1">
      <alignment horizontal="left" vertical="center" wrapText="1"/>
    </xf>
    <xf numFmtId="0" fontId="6" fillId="12" borderId="44" xfId="2" applyFont="1" applyFill="1" applyBorder="1" applyAlignment="1">
      <alignment horizontal="left" vertical="center" wrapText="1"/>
    </xf>
    <xf numFmtId="0" fontId="6" fillId="12" borderId="43" xfId="2" applyFont="1" applyFill="1" applyBorder="1" applyAlignment="1">
      <alignment horizontal="left" vertical="center" wrapText="1"/>
    </xf>
    <xf numFmtId="0" fontId="6" fillId="12" borderId="42" xfId="2" applyFont="1" applyFill="1" applyBorder="1" applyAlignment="1">
      <alignment horizontal="left" vertical="center" wrapText="1"/>
    </xf>
    <xf numFmtId="0" fontId="6" fillId="12" borderId="45" xfId="2" applyFont="1" applyFill="1" applyBorder="1" applyAlignment="1">
      <alignment horizontal="left" vertical="center" wrapText="1"/>
    </xf>
    <xf numFmtId="0" fontId="6" fillId="4" borderId="46" xfId="2" applyFont="1" applyFill="1" applyBorder="1" applyAlignment="1">
      <alignment horizontal="left" vertical="center" wrapText="1"/>
    </xf>
    <xf numFmtId="0" fontId="4" fillId="4" borderId="33" xfId="2"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4" fillId="4" borderId="44" xfId="2" applyFont="1" applyFill="1" applyBorder="1" applyAlignment="1" applyProtection="1">
      <alignment horizontal="left" vertical="center" wrapText="1"/>
      <protection locked="0"/>
    </xf>
    <xf numFmtId="0" fontId="5" fillId="4" borderId="44" xfId="2" applyNumberFormat="1" applyFont="1" applyFill="1" applyBorder="1" applyAlignment="1">
      <alignment horizontal="left" vertical="center" wrapText="1"/>
    </xf>
    <xf numFmtId="0" fontId="2" fillId="0" borderId="7" xfId="0" applyFont="1" applyBorder="1" applyAlignment="1">
      <alignment horizontal="center"/>
    </xf>
    <xf numFmtId="0" fontId="2" fillId="3" borderId="12" xfId="0" applyFont="1" applyFill="1" applyBorder="1" applyAlignment="1">
      <alignment horizontal="center" wrapText="1"/>
    </xf>
    <xf numFmtId="0" fontId="2" fillId="3" borderId="13" xfId="0" applyFont="1" applyFill="1" applyBorder="1" applyAlignment="1">
      <alignment horizontal="center" wrapText="1"/>
    </xf>
    <xf numFmtId="0" fontId="2" fillId="3" borderId="14" xfId="0" applyFont="1" applyFill="1" applyBorder="1" applyAlignment="1">
      <alignment horizontal="center" wrapText="1"/>
    </xf>
    <xf numFmtId="0" fontId="2" fillId="0" borderId="19" xfId="0" applyFont="1" applyBorder="1" applyAlignment="1">
      <alignment horizontal="center" vertical="center" wrapText="1"/>
    </xf>
    <xf numFmtId="0" fontId="2" fillId="0" borderId="5" xfId="0" applyFont="1" applyBorder="1" applyAlignment="1">
      <alignment horizontal="center" vertical="center" wrapText="1"/>
    </xf>
    <xf numFmtId="41" fontId="2" fillId="0" borderId="19" xfId="1" applyFont="1" applyBorder="1" applyAlignment="1">
      <alignment horizontal="center" vertical="center" wrapText="1"/>
    </xf>
    <xf numFmtId="41" fontId="2" fillId="0" borderId="5" xfId="1" applyFont="1" applyBorder="1" applyAlignment="1">
      <alignment horizontal="center"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25" xfId="0" applyBorder="1" applyAlignment="1">
      <alignment horizontal="left" vertical="center" wrapText="1"/>
    </xf>
    <xf numFmtId="0" fontId="0" fillId="0" borderId="19" xfId="0" applyBorder="1" applyAlignment="1">
      <alignment horizontal="left" vertical="center" wrapText="1"/>
    </xf>
    <xf numFmtId="0" fontId="2" fillId="0" borderId="11" xfId="0" applyFont="1" applyBorder="1" applyAlignment="1">
      <alignment horizont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7" borderId="4" xfId="0" applyFill="1" applyBorder="1" applyAlignment="1">
      <alignment horizontal="left" vertical="center" wrapText="1"/>
    </xf>
    <xf numFmtId="0" fontId="0" fillId="7" borderId="5" xfId="0" applyFill="1" applyBorder="1" applyAlignment="1">
      <alignment horizontal="left" vertical="center" wrapText="1"/>
    </xf>
    <xf numFmtId="165" fontId="0" fillId="0" borderId="4" xfId="0" applyNumberFormat="1" applyBorder="1" applyAlignment="1">
      <alignment horizontal="left" vertical="center" wrapText="1"/>
    </xf>
    <xf numFmtId="165" fontId="0" fillId="0" borderId="5" xfId="0" applyNumberFormat="1" applyBorder="1" applyAlignment="1">
      <alignment horizontal="left" vertical="center" wrapText="1"/>
    </xf>
    <xf numFmtId="0" fontId="0" fillId="8" borderId="4" xfId="0" applyFill="1" applyBorder="1" applyAlignment="1">
      <alignment horizontal="left" vertical="center" wrapText="1"/>
    </xf>
    <xf numFmtId="0" fontId="0" fillId="8" borderId="5" xfId="0" applyFill="1" applyBorder="1" applyAlignment="1">
      <alignment horizontal="left" vertical="center" wrapText="1"/>
    </xf>
    <xf numFmtId="0" fontId="0" fillId="9" borderId="4" xfId="0" applyFill="1" applyBorder="1" applyAlignment="1">
      <alignment horizontal="left" vertical="center" wrapText="1"/>
    </xf>
    <xf numFmtId="0" fontId="0" fillId="9" borderId="5" xfId="0" applyFill="1"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10" borderId="4" xfId="0" applyFill="1" applyBorder="1" applyAlignment="1">
      <alignment horizontal="left" vertical="center" wrapText="1"/>
    </xf>
    <xf numFmtId="0" fontId="0" fillId="10" borderId="5" xfId="0" applyFill="1" applyBorder="1" applyAlignment="1">
      <alignment horizontal="left" vertical="center" wrapText="1"/>
    </xf>
    <xf numFmtId="0" fontId="2" fillId="2" borderId="7" xfId="0" applyFont="1" applyFill="1" applyBorder="1" applyAlignment="1">
      <alignment horizontal="center" wrapText="1"/>
    </xf>
    <xf numFmtId="0" fontId="2" fillId="2" borderId="8" xfId="0" applyFont="1" applyFill="1" applyBorder="1" applyAlignment="1">
      <alignment horizontal="center" wrapText="1"/>
    </xf>
    <xf numFmtId="0" fontId="2" fillId="2" borderId="15" xfId="0" applyFont="1" applyFill="1" applyBorder="1" applyAlignment="1">
      <alignment horizontal="center" wrapText="1"/>
    </xf>
    <xf numFmtId="0" fontId="0" fillId="0" borderId="21" xfId="0" applyBorder="1" applyAlignment="1">
      <alignment horizontal="left" wrapText="1"/>
    </xf>
    <xf numFmtId="0" fontId="0" fillId="0" borderId="22" xfId="0" applyBorder="1" applyAlignment="1">
      <alignment horizontal="left" wrapText="1"/>
    </xf>
    <xf numFmtId="0" fontId="0" fillId="0" borderId="20" xfId="0" applyBorder="1" applyAlignment="1">
      <alignment horizontal="left" wrapText="1"/>
    </xf>
    <xf numFmtId="0" fontId="0" fillId="3" borderId="4" xfId="0" applyFill="1" applyBorder="1" applyAlignment="1">
      <alignment horizontal="left" vertical="center" wrapText="1"/>
    </xf>
    <xf numFmtId="0" fontId="0" fillId="3" borderId="5" xfId="0" applyFill="1" applyBorder="1" applyAlignment="1">
      <alignment horizontal="left" vertical="center" wrapText="1"/>
    </xf>
    <xf numFmtId="0" fontId="0" fillId="7" borderId="4" xfId="0" applyFill="1" applyBorder="1" applyAlignment="1">
      <alignment horizontal="center" wrapText="1"/>
    </xf>
    <xf numFmtId="0" fontId="0" fillId="7" borderId="5" xfId="0" applyFill="1" applyBorder="1" applyAlignment="1">
      <alignment horizontal="center" wrapText="1"/>
    </xf>
    <xf numFmtId="0" fontId="0" fillId="0" borderId="32" xfId="0" applyBorder="1" applyAlignment="1">
      <alignment horizontal="left" wrapText="1"/>
    </xf>
    <xf numFmtId="0" fontId="0" fillId="0" borderId="0" xfId="0" applyBorder="1" applyAlignment="1">
      <alignment horizontal="left" wrapText="1"/>
    </xf>
    <xf numFmtId="0" fontId="0" fillId="0" borderId="31" xfId="0" applyBorder="1" applyAlignment="1">
      <alignment horizontal="left" wrapText="1"/>
    </xf>
    <xf numFmtId="0" fontId="2" fillId="0" borderId="8" xfId="0" applyFont="1" applyBorder="1" applyAlignment="1">
      <alignment horizontal="center"/>
    </xf>
    <xf numFmtId="0" fontId="2" fillId="0" borderId="15" xfId="0" applyFont="1" applyBorder="1" applyAlignment="1">
      <alignment horizontal="center"/>
    </xf>
    <xf numFmtId="0" fontId="0" fillId="2" borderId="23" xfId="0" applyFill="1" applyBorder="1" applyAlignment="1">
      <alignment horizontal="left" wrapText="1"/>
    </xf>
    <xf numFmtId="0" fontId="0" fillId="2" borderId="24" xfId="0" applyFill="1" applyBorder="1" applyAlignment="1">
      <alignment horizontal="left" wrapText="1"/>
    </xf>
    <xf numFmtId="0" fontId="2" fillId="0" borderId="33" xfId="0" applyFont="1" applyBorder="1" applyAlignment="1">
      <alignment horizontal="center"/>
    </xf>
    <xf numFmtId="0" fontId="2" fillId="0" borderId="34" xfId="0" applyFont="1" applyBorder="1" applyAlignment="1">
      <alignment horizontal="center"/>
    </xf>
    <xf numFmtId="0" fontId="2" fillId="0" borderId="35" xfId="0" applyFont="1" applyBorder="1" applyAlignment="1">
      <alignment horizontal="center"/>
    </xf>
    <xf numFmtId="0" fontId="2" fillId="3" borderId="12" xfId="0" applyFont="1" applyFill="1" applyBorder="1" applyAlignment="1">
      <alignment horizontal="center"/>
    </xf>
    <xf numFmtId="0" fontId="2" fillId="3" borderId="13" xfId="0" applyFont="1" applyFill="1" applyBorder="1" applyAlignment="1">
      <alignment horizontal="center"/>
    </xf>
    <xf numFmtId="0" fontId="2" fillId="3" borderId="14" xfId="0" applyFont="1" applyFill="1" applyBorder="1" applyAlignment="1">
      <alignment horizont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5" xfId="0" applyFont="1" applyFill="1" applyBorder="1" applyAlignment="1">
      <alignment horizontal="center" vertical="center"/>
    </xf>
    <xf numFmtId="41" fontId="2" fillId="0" borderId="23" xfId="1" applyFont="1" applyBorder="1" applyAlignment="1">
      <alignment horizontal="center" vertical="center"/>
    </xf>
    <xf numFmtId="41" fontId="2" fillId="0" borderId="29" xfId="1" applyFont="1" applyBorder="1" applyAlignment="1">
      <alignment horizontal="center" vertical="center"/>
    </xf>
    <xf numFmtId="0" fontId="2" fillId="0" borderId="32" xfId="0" applyFont="1" applyBorder="1" applyAlignment="1">
      <alignment horizontal="center" vertical="center"/>
    </xf>
    <xf numFmtId="0" fontId="2" fillId="0" borderId="9" xfId="0" applyFont="1" applyBorder="1" applyAlignment="1">
      <alignment horizontal="center" vertical="center"/>
    </xf>
    <xf numFmtId="0" fontId="0" fillId="3" borderId="30" xfId="0" applyFill="1" applyBorder="1" applyAlignment="1">
      <alignment horizontal="left" vertical="center" wrapText="1"/>
    </xf>
    <xf numFmtId="0" fontId="0" fillId="3" borderId="29" xfId="0" applyFill="1" applyBorder="1" applyAlignment="1">
      <alignment horizontal="left" vertical="center" wrapText="1"/>
    </xf>
    <xf numFmtId="0" fontId="0" fillId="7" borderId="30" xfId="0" applyFill="1" applyBorder="1" applyAlignment="1">
      <alignment horizontal="left" vertical="center"/>
    </xf>
    <xf numFmtId="0" fontId="0" fillId="7" borderId="29" xfId="0" applyFill="1" applyBorder="1" applyAlignment="1">
      <alignment horizontal="left" vertical="center"/>
    </xf>
    <xf numFmtId="0" fontId="0" fillId="9" borderId="28" xfId="0" applyFill="1" applyBorder="1" applyAlignment="1">
      <alignment horizontal="left" vertical="center" wrapText="1"/>
    </xf>
  </cellXfs>
  <cellStyles count="3">
    <cellStyle name="Millares [0]" xfId="1" builtinId="6"/>
    <cellStyle name="Normal" xfId="0" builtinId="0"/>
    <cellStyle name="Normal 6" xfId="2" xr:uid="{00000000-0005-0000-0000-000002000000}"/>
  </cellStyles>
  <dxfs count="0"/>
  <tableStyles count="0" defaultTableStyle="TableStyleMedium2" defaultPivotStyle="PivotStyleLight16"/>
  <colors>
    <mruColors>
      <color rgb="FFFF7C80"/>
      <color rgb="FFFF00FF"/>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UMENTOS%20LFCH%20CPQ%20030616\CRA%20metas%202019\DOCS%20DESARROLLADOS%20CRA%20TR%202020\AJUSTES%20%20ACUERDO%20OO6%202020%20DE%20METAS\PROPUESTAS%20AJSUTES\TRIPLE%20A\INF%20A%20JULIO%2022%20DE%202021\Anexo%20de%20Proyecci&#243;n%20de%20Cargas\Propuesta%20met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UMENTOS%20LFCH%20CPQ%20030616\CRA%20metas%202019\DOCS%20DESARROLLADOS%20CRA%20TR%202020\AJUSTES%20%20ACUERDO%20OO6%202020%20DE%20METAS\PROPUESTAS%20AJSUTES\TRIPLE%20A\INF%20A%20JULIO%2022%20DE%202021\Anexo%20de%20Proyecci&#243;n%20de%20Cargas\2.%20Punto%20de%20vertimien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rranquilla TODO"/>
      <sheetName val="TRAMO 1"/>
      <sheetName val=" Soledad 2904-2"/>
      <sheetName val="Sabanagrande  2904-4"/>
      <sheetName val="Santo Tomas  2904-4"/>
      <sheetName val="Palmar Varela 2904-4"/>
      <sheetName val="Baranoa-2904-4"/>
      <sheetName val="Sabanalarga Sur 2904-5"/>
      <sheetName val="Ponedera 2904-5"/>
      <sheetName val="Polonuevo  2904-4"/>
      <sheetName val="TRAMO 2"/>
      <sheetName val="Soledad 2904-1 "/>
      <sheetName val="Barranquilla oriental 2904-1"/>
      <sheetName val="P Colombia 2904-1"/>
      <sheetName val="Barranquilla Surocii 2904-1 "/>
      <sheetName val="TRAMO 3"/>
      <sheetName val="P Colombia 1401-1"/>
      <sheetName val="Tubará 1401-1"/>
      <sheetName val="Galapa 1401-1"/>
      <sheetName val="Juan de Acosta 1401-1"/>
      <sheetName val="Piojó 1401-1"/>
      <sheetName val="TRAMO 4"/>
      <sheetName val="Sabanalarga Norte 2903-1 "/>
      <sheetName val="Usiacurí 2903-1"/>
      <sheetName val="Monitoreo"/>
      <sheetName val="Consumo USU ARnD"/>
      <sheetName val="USUARIO ARnD x sistema"/>
      <sheetName val="Caudales por colector Barranqui"/>
      <sheetName val="LINEA BASE"/>
      <sheetName val="Proyecciones población DANE"/>
    </sheetNames>
    <sheetDataSet>
      <sheetData sheetId="0">
        <row r="31">
          <cell r="Q31">
            <v>359.34330980570735</v>
          </cell>
          <cell r="R31">
            <v>2351.550180504184</v>
          </cell>
        </row>
        <row r="32">
          <cell r="Q32">
            <v>370.12360909987859</v>
          </cell>
          <cell r="R32">
            <v>2393.9019992103626</v>
          </cell>
        </row>
        <row r="33">
          <cell r="Q33">
            <v>381.22731737287501</v>
          </cell>
          <cell r="R33">
            <v>2428.5817948502759</v>
          </cell>
        </row>
        <row r="34">
          <cell r="Q34">
            <v>392.66413689406124</v>
          </cell>
          <cell r="R34">
            <v>2462.838909924742</v>
          </cell>
        </row>
        <row r="35">
          <cell r="Q35">
            <v>404.44406100088315</v>
          </cell>
          <cell r="R35">
            <v>2496.7188226154008</v>
          </cell>
        </row>
        <row r="44">
          <cell r="E44">
            <v>18425353.372211993</v>
          </cell>
          <cell r="F44">
            <v>18425353.372211993</v>
          </cell>
        </row>
        <row r="45">
          <cell r="E45">
            <v>18737844.581942514</v>
          </cell>
          <cell r="F45">
            <v>18737844.581942514</v>
          </cell>
        </row>
        <row r="46">
          <cell r="E46">
            <v>19002633.627775356</v>
          </cell>
          <cell r="F46">
            <v>19002633.627775356</v>
          </cell>
        </row>
        <row r="47">
          <cell r="E47">
            <v>19264762.395555802</v>
          </cell>
          <cell r="F47">
            <v>19264762.395555802</v>
          </cell>
        </row>
        <row r="48">
          <cell r="E48">
            <v>19521812.167589746</v>
          </cell>
          <cell r="F48">
            <v>19521812.167589746</v>
          </cell>
        </row>
      </sheetData>
      <sheetData sheetId="1"/>
      <sheetData sheetId="2">
        <row r="12">
          <cell r="D12">
            <v>670160</v>
          </cell>
        </row>
        <row r="13">
          <cell r="D13">
            <v>680194</v>
          </cell>
        </row>
        <row r="14">
          <cell r="D14">
            <v>688052</v>
          </cell>
        </row>
        <row r="15">
          <cell r="D15">
            <v>695192</v>
          </cell>
        </row>
        <row r="16">
          <cell r="D16">
            <v>702014.5</v>
          </cell>
        </row>
        <row r="31">
          <cell r="D31">
            <v>772.14102235660505</v>
          </cell>
          <cell r="E31">
            <v>41.398721159684271</v>
          </cell>
        </row>
        <row r="32">
          <cell r="D32">
            <v>783.70193768775914</v>
          </cell>
          <cell r="E32">
            <v>42.640682794474799</v>
          </cell>
        </row>
        <row r="33">
          <cell r="D33">
            <v>792.75572208801907</v>
          </cell>
          <cell r="E33">
            <v>43.919903278309043</v>
          </cell>
        </row>
        <row r="34">
          <cell r="D34">
            <v>800.98224545501523</v>
          </cell>
          <cell r="E34">
            <v>45.237500376658318</v>
          </cell>
        </row>
        <row r="35">
          <cell r="D35">
            <v>808.84295353223263</v>
          </cell>
          <cell r="F35">
            <v>855.43757892019073</v>
          </cell>
        </row>
        <row r="41">
          <cell r="E41">
            <v>6413947.3378824238</v>
          </cell>
          <cell r="F41">
            <v>6413947.3378824238</v>
          </cell>
        </row>
        <row r="42">
          <cell r="E42">
            <v>6514885.2198819341</v>
          </cell>
          <cell r="F42">
            <v>6514885.2198819341</v>
          </cell>
        </row>
        <row r="43">
          <cell r="E43">
            <v>6596350.6303881304</v>
          </cell>
          <cell r="F43">
            <v>6596350.6303881304</v>
          </cell>
        </row>
        <row r="44">
          <cell r="E44">
            <v>6671596.4761369154</v>
          </cell>
          <cell r="F44">
            <v>6671596.4761369154</v>
          </cell>
        </row>
        <row r="45">
          <cell r="E45">
            <v>6744269.8722067839</v>
          </cell>
          <cell r="F45">
            <v>6744269.8722067839</v>
          </cell>
        </row>
      </sheetData>
      <sheetData sheetId="3">
        <row r="12">
          <cell r="D12">
            <v>33744.5</v>
          </cell>
          <cell r="F12">
            <v>33744.5</v>
          </cell>
        </row>
        <row r="13">
          <cell r="D13">
            <v>34258.5</v>
          </cell>
          <cell r="F13">
            <v>34258.5</v>
          </cell>
        </row>
        <row r="14">
          <cell r="D14">
            <v>34661</v>
          </cell>
          <cell r="F14">
            <v>34661</v>
          </cell>
        </row>
        <row r="15">
          <cell r="D15">
            <v>35034</v>
          </cell>
          <cell r="F15">
            <v>35034</v>
          </cell>
        </row>
        <row r="16">
          <cell r="D16">
            <v>35389</v>
          </cell>
          <cell r="F16">
            <v>35389</v>
          </cell>
        </row>
        <row r="31">
          <cell r="D31">
            <v>52.46410515046297</v>
          </cell>
          <cell r="E31">
            <v>1.3460458409228901</v>
          </cell>
          <cell r="F31">
            <v>53.810150991385861</v>
          </cell>
          <cell r="J31">
            <v>0</v>
          </cell>
        </row>
        <row r="32">
          <cell r="D32">
            <v>53.26324427083334</v>
          </cell>
          <cell r="E32">
            <v>1.3864272161505768</v>
          </cell>
          <cell r="F32">
            <v>54.64967148698392</v>
          </cell>
        </row>
        <row r="33">
          <cell r="D33">
            <v>53.889029282407414</v>
          </cell>
          <cell r="E33">
            <v>1.4280200326350942</v>
          </cell>
          <cell r="F33">
            <v>55.31704931504251</v>
          </cell>
        </row>
        <row r="34">
          <cell r="D34">
            <v>54.468949305555562</v>
          </cell>
          <cell r="E34">
            <v>1.4708606336141472</v>
          </cell>
          <cell r="F34">
            <v>55.939809939169706</v>
          </cell>
        </row>
        <row r="35">
          <cell r="D35">
            <v>55.020883912037036</v>
          </cell>
          <cell r="E35">
            <v>1.5149864526225716</v>
          </cell>
          <cell r="F35">
            <v>56.535870364659608</v>
          </cell>
        </row>
        <row r="41">
          <cell r="E41">
            <v>152726.122949791</v>
          </cell>
          <cell r="F41">
            <v>152726.122949791</v>
          </cell>
          <cell r="K41">
            <v>6022.9344098360634</v>
          </cell>
          <cell r="L41">
            <v>6022.9344098360634</v>
          </cell>
        </row>
        <row r="42">
          <cell r="F42">
            <v>155108.88360121724</v>
          </cell>
        </row>
        <row r="43">
          <cell r="F43">
            <v>157003.06204792627</v>
          </cell>
        </row>
        <row r="44">
          <cell r="F44">
            <v>158770.60616174902</v>
          </cell>
        </row>
        <row r="45">
          <cell r="F45">
            <v>160462.36870379149</v>
          </cell>
        </row>
      </sheetData>
      <sheetData sheetId="4">
        <row r="12">
          <cell r="F12">
            <v>30486.5</v>
          </cell>
        </row>
        <row r="13">
          <cell r="F13">
            <v>30949.5</v>
          </cell>
        </row>
        <row r="14">
          <cell r="F14">
            <v>31314.5</v>
          </cell>
        </row>
        <row r="15">
          <cell r="F15">
            <v>31669</v>
          </cell>
        </row>
        <row r="16">
          <cell r="F16">
            <v>32008</v>
          </cell>
        </row>
        <row r="31">
          <cell r="E31">
            <v>1.1707726168791743</v>
          </cell>
          <cell r="F31">
            <v>48.569517350675476</v>
          </cell>
        </row>
        <row r="32">
          <cell r="E32">
            <v>1.2058957953855496</v>
          </cell>
          <cell r="F32">
            <v>49.324487635663331</v>
          </cell>
        </row>
        <row r="33">
          <cell r="E33">
            <v>1.242072669247116</v>
          </cell>
          <cell r="F33">
            <v>49.92814656971008</v>
          </cell>
        </row>
        <row r="34">
          <cell r="E34">
            <v>1.2793348493245296</v>
          </cell>
          <cell r="F34">
            <v>50.516565983583796</v>
          </cell>
        </row>
        <row r="35">
          <cell r="E35">
            <v>1.3177148948042654</v>
          </cell>
          <cell r="F35">
            <v>51.082004709619092</v>
          </cell>
        </row>
        <row r="41">
          <cell r="E41">
            <v>137851.94692538117</v>
          </cell>
          <cell r="F41">
            <v>137851.94692538117</v>
          </cell>
        </row>
        <row r="42">
          <cell r="E42">
            <v>139994.73378704509</v>
          </cell>
          <cell r="F42">
            <v>139994.73378704509</v>
          </cell>
        </row>
        <row r="43">
          <cell r="E43">
            <v>141708.06272001396</v>
          </cell>
          <cell r="F43">
            <v>141708.06272001396</v>
          </cell>
        </row>
        <row r="44">
          <cell r="E44">
            <v>143378.13823724687</v>
          </cell>
          <cell r="F44">
            <v>143378.13823724687</v>
          </cell>
        </row>
        <row r="45">
          <cell r="E45">
            <v>144982.98904702929</v>
          </cell>
          <cell r="F45">
            <v>144982.98904702929</v>
          </cell>
        </row>
      </sheetData>
      <sheetData sheetId="5">
        <row r="12">
          <cell r="F12">
            <v>30056</v>
          </cell>
        </row>
        <row r="13">
          <cell r="F13">
            <v>30509.5</v>
          </cell>
        </row>
        <row r="14">
          <cell r="F14">
            <v>30867</v>
          </cell>
        </row>
        <row r="15">
          <cell r="F15">
            <v>31196.5</v>
          </cell>
        </row>
        <row r="16">
          <cell r="F16">
            <v>31520.5</v>
          </cell>
        </row>
        <row r="31">
          <cell r="F31">
            <v>46.729426851851855</v>
          </cell>
        </row>
        <row r="32">
          <cell r="F32">
            <v>47.434503877314818</v>
          </cell>
        </row>
        <row r="33">
          <cell r="F33">
            <v>47.990325347222225</v>
          </cell>
        </row>
        <row r="34">
          <cell r="F34">
            <v>48.502613946759261</v>
          </cell>
        </row>
        <row r="35">
          <cell r="F35">
            <v>49.006351446759268</v>
          </cell>
        </row>
        <row r="41">
          <cell r="E41">
            <v>368414.80130000005</v>
          </cell>
          <cell r="F41">
            <v>368414.80130000005</v>
          </cell>
        </row>
        <row r="42">
          <cell r="E42">
            <v>373973.62856875005</v>
          </cell>
          <cell r="F42">
            <v>373973.62856875005</v>
          </cell>
        </row>
        <row r="43">
          <cell r="E43">
            <v>378355.72503750003</v>
          </cell>
          <cell r="F43">
            <v>378355.72503750003</v>
          </cell>
        </row>
        <row r="44">
          <cell r="E44">
            <v>382394.60835624998</v>
          </cell>
          <cell r="F44">
            <v>382394.60835624998</v>
          </cell>
        </row>
        <row r="45">
          <cell r="E45">
            <v>386366.07480625005</v>
          </cell>
          <cell r="F45">
            <v>386366.07480625005</v>
          </cell>
        </row>
      </sheetData>
      <sheetData sheetId="6">
        <row r="12">
          <cell r="F12">
            <v>56232.5</v>
          </cell>
        </row>
        <row r="13">
          <cell r="F13">
            <v>57136</v>
          </cell>
        </row>
        <row r="14">
          <cell r="F14">
            <v>57845</v>
          </cell>
        </row>
        <row r="15">
          <cell r="F15">
            <v>58524.5</v>
          </cell>
        </row>
        <row r="16">
          <cell r="F16">
            <v>59168.5</v>
          </cell>
        </row>
        <row r="31">
          <cell r="D31">
            <v>87.427219039351854</v>
          </cell>
          <cell r="E31">
            <v>1.1908583788706741</v>
          </cell>
        </row>
        <row r="32">
          <cell r="D32">
            <v>88.83193148148149</v>
          </cell>
          <cell r="E32">
            <v>1.2265841302367944</v>
          </cell>
        </row>
        <row r="33">
          <cell r="D33">
            <v>89.934245949074082</v>
          </cell>
          <cell r="E33">
            <v>1.2633816541438982</v>
          </cell>
        </row>
        <row r="34">
          <cell r="D34">
            <v>90.990695428240755</v>
          </cell>
          <cell r="E34">
            <v>1.3012831037682153</v>
          </cell>
        </row>
        <row r="35">
          <cell r="D35">
            <v>91.991951446759259</v>
          </cell>
          <cell r="E35">
            <v>1.3403215968812618</v>
          </cell>
        </row>
        <row r="41">
          <cell r="E41">
            <v>251519.37205149585</v>
          </cell>
          <cell r="F41">
            <v>251519.37205149585</v>
          </cell>
        </row>
        <row r="42">
          <cell r="E42">
            <v>255607.68134980326</v>
          </cell>
          <cell r="F42">
            <v>255607.68134980326</v>
          </cell>
        </row>
        <row r="43">
          <cell r="E43">
            <v>258840.7545685574</v>
          </cell>
          <cell r="F43">
            <v>258840.7545685574</v>
          </cell>
        </row>
        <row r="44">
          <cell r="E44">
            <v>261946.78514868914</v>
          </cell>
          <cell r="F44">
            <v>261946.78514868914</v>
          </cell>
        </row>
        <row r="45">
          <cell r="E45">
            <v>264899.39064338233</v>
          </cell>
          <cell r="F45">
            <v>264899.39064338233</v>
          </cell>
        </row>
      </sheetData>
      <sheetData sheetId="7"/>
      <sheetData sheetId="8">
        <row r="12">
          <cell r="F12">
            <v>14841.5</v>
          </cell>
        </row>
        <row r="13">
          <cell r="F13">
            <v>15122.5</v>
          </cell>
        </row>
        <row r="14">
          <cell r="F14">
            <v>15344</v>
          </cell>
        </row>
        <row r="15">
          <cell r="F15">
            <v>15542</v>
          </cell>
        </row>
        <row r="16">
          <cell r="F16">
            <v>15713.5</v>
          </cell>
        </row>
        <row r="31">
          <cell r="D31">
            <v>23.074753414351854</v>
          </cell>
        </row>
        <row r="32">
          <cell r="D32">
            <v>23.511636863425927</v>
          </cell>
        </row>
        <row r="33">
          <cell r="D33">
            <v>23.856012962962964</v>
          </cell>
        </row>
        <row r="34">
          <cell r="D34">
            <v>24.163852546296297</v>
          </cell>
        </row>
        <row r="35">
          <cell r="D35">
            <v>24.430491377314816</v>
          </cell>
        </row>
        <row r="41">
          <cell r="E41">
            <v>65491.688130750001</v>
          </cell>
          <cell r="F41">
            <v>65491.688130750001</v>
          </cell>
        </row>
        <row r="42">
          <cell r="E42">
            <v>66731.668211250013</v>
          </cell>
          <cell r="F42">
            <v>66731.668211250013</v>
          </cell>
        </row>
        <row r="43">
          <cell r="E43">
            <v>67709.090232000002</v>
          </cell>
          <cell r="F43">
            <v>67709.090232000002</v>
          </cell>
        </row>
        <row r="44">
          <cell r="E44">
            <v>68582.81285100001</v>
          </cell>
          <cell r="F44">
            <v>68582.81285100001</v>
          </cell>
        </row>
        <row r="45">
          <cell r="E45">
            <v>69339.597846749995</v>
          </cell>
          <cell r="F45">
            <v>69339.597846749995</v>
          </cell>
        </row>
      </sheetData>
      <sheetData sheetId="9">
        <row r="12">
          <cell r="F12">
            <v>16403</v>
          </cell>
        </row>
        <row r="13">
          <cell r="F13">
            <v>16666</v>
          </cell>
        </row>
        <row r="14">
          <cell r="F14">
            <v>16872</v>
          </cell>
        </row>
        <row r="15">
          <cell r="F15">
            <v>17069.5</v>
          </cell>
        </row>
        <row r="16">
          <cell r="F16">
            <v>17250.5</v>
          </cell>
        </row>
        <row r="31">
          <cell r="D31">
            <v>25.502488310185189</v>
          </cell>
          <cell r="E31">
            <v>0.23580752884031575</v>
          </cell>
        </row>
        <row r="32">
          <cell r="D32">
            <v>25.911386342592596</v>
          </cell>
          <cell r="E32">
            <v>0.24288175470552523</v>
          </cell>
        </row>
        <row r="33">
          <cell r="D33">
            <v>26.231663888888892</v>
          </cell>
        </row>
        <row r="34">
          <cell r="D34">
            <v>26.538726099537037</v>
          </cell>
          <cell r="E34">
            <v>0.2576732535670917</v>
          </cell>
        </row>
        <row r="35">
          <cell r="D35">
            <v>26.820135011574074</v>
          </cell>
          <cell r="E35">
            <v>0.26540345117410447</v>
          </cell>
        </row>
        <row r="41">
          <cell r="E41">
            <v>73051.460782155729</v>
          </cell>
          <cell r="F41">
            <v>73051.460782155729</v>
          </cell>
        </row>
        <row r="42">
          <cell r="E42">
            <v>74232.089884475427</v>
          </cell>
          <cell r="F42">
            <v>74232.089884475427</v>
          </cell>
        </row>
        <row r="43">
          <cell r="E43">
            <v>75161.795128819678</v>
          </cell>
          <cell r="F43">
            <v>75161.795128819678</v>
          </cell>
        </row>
        <row r="44">
          <cell r="E44">
            <v>76054.612499954266</v>
          </cell>
          <cell r="F44">
            <v>76054.612499954266</v>
          </cell>
        </row>
        <row r="45">
          <cell r="E45">
            <v>76875.25868651038</v>
          </cell>
          <cell r="F45">
            <v>76875.25868651038</v>
          </cell>
        </row>
      </sheetData>
      <sheetData sheetId="10"/>
      <sheetData sheetId="11"/>
      <sheetData sheetId="12"/>
      <sheetData sheetId="13">
        <row r="12">
          <cell r="D12">
            <v>47396</v>
          </cell>
        </row>
        <row r="13">
          <cell r="D13">
            <v>48141.5</v>
          </cell>
        </row>
        <row r="14">
          <cell r="D14">
            <v>48725.5</v>
          </cell>
        </row>
        <row r="15">
          <cell r="D15">
            <v>49267</v>
          </cell>
        </row>
        <row r="16">
          <cell r="D16">
            <v>49782</v>
          </cell>
        </row>
        <row r="31">
          <cell r="D31">
            <v>22.554602425540526</v>
          </cell>
          <cell r="E31">
            <v>10.09165528233151</v>
          </cell>
        </row>
        <row r="32">
          <cell r="D32">
            <v>22.909367724473778</v>
          </cell>
          <cell r="E32">
            <v>10.394404940801456</v>
          </cell>
        </row>
        <row r="33">
          <cell r="D33">
            <v>23.187279105529473</v>
          </cell>
          <cell r="E33">
            <v>10.7062370890255</v>
          </cell>
        </row>
        <row r="34">
          <cell r="D34">
            <v>23.44496577135423</v>
          </cell>
          <cell r="E34">
            <v>11.027424201696265</v>
          </cell>
        </row>
        <row r="35">
          <cell r="D35">
            <v>23.690041732387932</v>
          </cell>
          <cell r="E35">
            <v>11.358246927747153</v>
          </cell>
        </row>
      </sheetData>
      <sheetData sheetId="14"/>
      <sheetData sheetId="15"/>
      <sheetData sheetId="16"/>
      <sheetData sheetId="17">
        <row r="12">
          <cell r="D12">
            <v>9546.5</v>
          </cell>
        </row>
        <row r="13">
          <cell r="D13">
            <v>9739.5</v>
          </cell>
        </row>
        <row r="14">
          <cell r="D14">
            <v>9891.5</v>
          </cell>
        </row>
        <row r="15">
          <cell r="D15">
            <v>10021</v>
          </cell>
        </row>
        <row r="16">
          <cell r="D16">
            <v>10134</v>
          </cell>
        </row>
        <row r="31">
          <cell r="D31">
            <v>14.842376678240743</v>
          </cell>
          <cell r="E31">
            <v>0.16155510018214936</v>
          </cell>
        </row>
        <row r="32">
          <cell r="D32">
            <v>15.142442534722225</v>
          </cell>
          <cell r="E32">
            <v>0.16640175318761385</v>
          </cell>
        </row>
        <row r="33">
          <cell r="D33">
            <v>15.378763831018519</v>
          </cell>
          <cell r="E33">
            <v>0.17139380578324229</v>
          </cell>
        </row>
        <row r="34">
          <cell r="D34">
            <v>15.580103356481484</v>
          </cell>
          <cell r="E34">
            <v>0.17653561995673955</v>
          </cell>
        </row>
        <row r="35">
          <cell r="D35">
            <v>15.755789583333335</v>
          </cell>
          <cell r="E35">
            <v>0.18183168855544174</v>
          </cell>
        </row>
        <row r="41">
          <cell r="E41">
            <v>42584.759330790992</v>
          </cell>
          <cell r="F41">
            <v>42584.759330790992</v>
          </cell>
        </row>
        <row r="42">
          <cell r="E42">
            <v>43450.174211717218</v>
          </cell>
          <cell r="F42">
            <v>43450.174211717218</v>
          </cell>
        </row>
        <row r="43">
          <cell r="E43">
            <v>44135.079411076236</v>
          </cell>
          <cell r="F43">
            <v>44135.079411076236</v>
          </cell>
        </row>
        <row r="44">
          <cell r="E44">
            <v>44721.123008486022</v>
          </cell>
          <cell r="F44">
            <v>44721.123008486022</v>
          </cell>
        </row>
        <row r="45">
          <cell r="E45">
            <v>45234.794198725605</v>
          </cell>
          <cell r="F45">
            <v>45234.794198725605</v>
          </cell>
        </row>
      </sheetData>
      <sheetData sheetId="18">
        <row r="12">
          <cell r="F12">
            <v>62735</v>
          </cell>
        </row>
        <row r="13">
          <cell r="F13">
            <v>63699.5</v>
          </cell>
        </row>
        <row r="14">
          <cell r="F14">
            <v>64455.5</v>
          </cell>
        </row>
        <row r="15">
          <cell r="F15">
            <v>65174.5</v>
          </cell>
        </row>
        <row r="16">
          <cell r="F16">
            <v>65851</v>
          </cell>
        </row>
        <row r="31">
          <cell r="D31">
            <v>97.536950810185189</v>
          </cell>
          <cell r="E31">
            <v>4.8657559198542808</v>
          </cell>
        </row>
        <row r="32">
          <cell r="D32">
            <v>99.036502719907418</v>
          </cell>
          <cell r="E32">
            <v>5.0117285974499097</v>
          </cell>
        </row>
        <row r="33">
          <cell r="D33">
            <v>100.21189021990742</v>
          </cell>
          <cell r="E33">
            <v>5.162080455373407</v>
          </cell>
        </row>
        <row r="34">
          <cell r="D34">
            <v>101.32975214120371</v>
          </cell>
          <cell r="E34">
            <v>5.3169428690346097</v>
          </cell>
        </row>
        <row r="35">
          <cell r="D35">
            <v>102.38153738425926</v>
          </cell>
          <cell r="E35">
            <v>5.4764511551056483</v>
          </cell>
        </row>
        <row r="41">
          <cell r="E41">
            <v>290643.4583494672</v>
          </cell>
          <cell r="F41">
            <v>290643.4583494672</v>
          </cell>
        </row>
        <row r="42">
          <cell r="E42">
            <v>295313.85205417627</v>
          </cell>
          <cell r="F42">
            <v>295313.85205417627</v>
          </cell>
        </row>
        <row r="43">
          <cell r="E43">
            <v>299076.61852940905</v>
          </cell>
          <cell r="F43">
            <v>299076.61852940905</v>
          </cell>
        </row>
        <row r="44">
          <cell r="E44">
            <v>302688.9156458588</v>
          </cell>
          <cell r="F44">
            <v>302688.9156458588</v>
          </cell>
        </row>
        <row r="45">
          <cell r="E45">
            <v>306126.85739196703</v>
          </cell>
          <cell r="F45">
            <v>306126.85739196703</v>
          </cell>
        </row>
      </sheetData>
      <sheetData sheetId="19">
        <row r="12">
          <cell r="F12">
            <v>14411.5</v>
          </cell>
        </row>
        <row r="13">
          <cell r="F13">
            <v>14672.5</v>
          </cell>
        </row>
        <row r="14">
          <cell r="F14">
            <v>14878</v>
          </cell>
        </row>
        <row r="15">
          <cell r="F15">
            <v>15067</v>
          </cell>
        </row>
        <row r="16">
          <cell r="F16">
            <v>15244</v>
          </cell>
        </row>
        <row r="31">
          <cell r="D31">
            <v>22.406212905092595</v>
          </cell>
        </row>
        <row r="32">
          <cell r="D32">
            <v>22.812001446759261</v>
          </cell>
        </row>
        <row r="33">
          <cell r="D33">
            <v>23.131501620370372</v>
          </cell>
        </row>
        <row r="34">
          <cell r="D34">
            <v>23.425348495370372</v>
          </cell>
        </row>
        <row r="35">
          <cell r="D35">
            <v>23.700538425925927</v>
          </cell>
        </row>
        <row r="41">
          <cell r="E41">
            <v>63594.20971575001</v>
          </cell>
          <cell r="F41">
            <v>63594.20971575001</v>
          </cell>
        </row>
        <row r="42">
          <cell r="E42">
            <v>64745.934986250009</v>
          </cell>
          <cell r="F42">
            <v>64745.934986250009</v>
          </cell>
        </row>
        <row r="43">
          <cell r="E43">
            <v>65652.753159</v>
          </cell>
          <cell r="F43">
            <v>65652.753159</v>
          </cell>
        </row>
        <row r="44">
          <cell r="E44">
            <v>66486.761113500004</v>
          </cell>
          <cell r="F44">
            <v>66486.761113500004</v>
          </cell>
        </row>
        <row r="45">
          <cell r="E45">
            <v>67267.81618200001</v>
          </cell>
          <cell r="F45">
            <v>67267.81618200001</v>
          </cell>
        </row>
      </sheetData>
      <sheetData sheetId="20">
        <row r="12">
          <cell r="F12">
            <v>3059.5</v>
          </cell>
        </row>
        <row r="13">
          <cell r="F13">
            <v>3126.5</v>
          </cell>
        </row>
        <row r="14">
          <cell r="F14">
            <v>3180</v>
          </cell>
        </row>
        <row r="15">
          <cell r="F15">
            <v>3223</v>
          </cell>
        </row>
        <row r="16">
          <cell r="F16">
            <v>3258.5</v>
          </cell>
        </row>
        <row r="31">
          <cell r="F31">
            <v>4.7567434606481482</v>
          </cell>
        </row>
        <row r="32">
          <cell r="F32">
            <v>4.8609114004629639</v>
          </cell>
        </row>
        <row r="33">
          <cell r="F33">
            <v>4.9440902777777778</v>
          </cell>
        </row>
        <row r="34">
          <cell r="F34">
            <v>5.0109443287037037</v>
          </cell>
        </row>
        <row r="35">
          <cell r="F35">
            <v>5.0661377893518527</v>
          </cell>
        </row>
        <row r="41">
          <cell r="E41">
            <v>13500.779559749999</v>
          </cell>
          <cell r="F41">
            <v>13500.779559749999</v>
          </cell>
        </row>
        <row r="42">
          <cell r="E42">
            <v>13796.433173250003</v>
          </cell>
          <cell r="F42">
            <v>13796.433173250003</v>
          </cell>
        </row>
        <row r="43">
          <cell r="E43">
            <v>14032.514789999999</v>
          </cell>
          <cell r="F43">
            <v>14032.514789999999</v>
          </cell>
        </row>
        <row r="44">
          <cell r="E44">
            <v>14222.2626315</v>
          </cell>
          <cell r="F44">
            <v>14222.2626315</v>
          </cell>
        </row>
        <row r="45">
          <cell r="E45">
            <v>14378.914919250003</v>
          </cell>
          <cell r="F45">
            <v>14378.914919250003</v>
          </cell>
        </row>
      </sheetData>
      <sheetData sheetId="21"/>
      <sheetData sheetId="22"/>
      <sheetData sheetId="23">
        <row r="12">
          <cell r="F12">
            <v>12363.5</v>
          </cell>
        </row>
        <row r="13">
          <cell r="F13">
            <v>12552</v>
          </cell>
        </row>
        <row r="14">
          <cell r="F14">
            <v>12700</v>
          </cell>
        </row>
        <row r="15">
          <cell r="F15">
            <v>12842</v>
          </cell>
        </row>
        <row r="16">
          <cell r="F16">
            <v>12975.5</v>
          </cell>
        </row>
        <row r="31">
          <cell r="D31">
            <v>19.222094386574074</v>
          </cell>
          <cell r="E31">
            <v>0.30507361870066785</v>
          </cell>
        </row>
        <row r="32">
          <cell r="D32">
            <v>19.515163888888889</v>
          </cell>
          <cell r="E32">
            <v>0.31422582726168791</v>
          </cell>
        </row>
        <row r="33">
          <cell r="D33">
            <v>19.745266203703707</v>
          </cell>
          <cell r="E33">
            <v>0.32365260207953855</v>
          </cell>
        </row>
        <row r="34">
          <cell r="D34">
            <v>19.966040046296296</v>
          </cell>
          <cell r="E34">
            <v>0.3333621801419247</v>
          </cell>
        </row>
        <row r="35">
          <cell r="D35">
            <v>20.173598553240744</v>
          </cell>
          <cell r="E35">
            <v>0.34336304554618247</v>
          </cell>
        </row>
        <row r="42">
          <cell r="E42">
            <v>55422.789319290991</v>
          </cell>
          <cell r="F42">
            <v>55422.789319290991</v>
          </cell>
        </row>
        <row r="43">
          <cell r="E43">
            <v>56280.567067967211</v>
          </cell>
          <cell r="F43">
            <v>56280.567067967211</v>
          </cell>
        </row>
        <row r="44">
          <cell r="E44">
            <v>56960.408111326244</v>
          </cell>
          <cell r="F44">
            <v>56960.408111326244</v>
          </cell>
        </row>
        <row r="45">
          <cell r="E45">
            <v>57614.575375166023</v>
          </cell>
          <cell r="F45">
            <v>57614.575375166023</v>
          </cell>
        </row>
        <row r="46">
          <cell r="E46">
            <v>58232.06108814101</v>
          </cell>
          <cell r="F46">
            <v>58232.06108814101</v>
          </cell>
        </row>
      </sheetData>
      <sheetData sheetId="24">
        <row r="23">
          <cell r="W23">
            <v>190.64285714285714</v>
          </cell>
          <cell r="X23">
            <v>147.15714285714284</v>
          </cell>
        </row>
      </sheetData>
      <sheetData sheetId="25"/>
      <sheetData sheetId="26"/>
      <sheetData sheetId="27"/>
      <sheetData sheetId="28"/>
      <sheetData sheetId="29">
        <row r="6772">
          <cell r="G6772">
            <v>1296471</v>
          </cell>
        </row>
        <row r="6775">
          <cell r="G6775">
            <v>1311856</v>
          </cell>
        </row>
        <row r="6778">
          <cell r="G6778">
            <v>1326588</v>
          </cell>
        </row>
        <row r="6781">
          <cell r="G6781">
            <v>1341160</v>
          </cell>
        </row>
        <row r="6784">
          <cell r="G6784">
            <v>1354676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nto de vertimiento "/>
      <sheetName val="% porcentaje de remocion "/>
    </sheetNames>
    <sheetDataSet>
      <sheetData sheetId="0"/>
      <sheetData sheetId="1">
        <row r="8">
          <cell r="E8">
            <v>0.49</v>
          </cell>
        </row>
        <row r="9">
          <cell r="E9">
            <v>0.54</v>
          </cell>
        </row>
        <row r="10">
          <cell r="E10">
            <v>0.6</v>
          </cell>
        </row>
        <row r="11">
          <cell r="E11">
            <v>0.65</v>
          </cell>
        </row>
        <row r="12">
          <cell r="E12">
            <v>0.7</v>
          </cell>
        </row>
        <row r="18">
          <cell r="E18">
            <v>0.51</v>
          </cell>
        </row>
        <row r="19">
          <cell r="E19">
            <v>0.59</v>
          </cell>
        </row>
        <row r="20">
          <cell r="E20">
            <v>0.67</v>
          </cell>
        </row>
        <row r="21">
          <cell r="E21">
            <v>0.75</v>
          </cell>
        </row>
        <row r="22">
          <cell r="E22">
            <v>0.82</v>
          </cell>
        </row>
        <row r="33">
          <cell r="E33">
            <v>0.95</v>
          </cell>
        </row>
        <row r="34">
          <cell r="E34">
            <v>0.96</v>
          </cell>
        </row>
        <row r="35">
          <cell r="E35">
            <v>0.98</v>
          </cell>
        </row>
        <row r="36">
          <cell r="E36">
            <v>0.99</v>
          </cell>
        </row>
        <row r="37">
          <cell r="E37">
            <v>1</v>
          </cell>
        </row>
        <row r="48">
          <cell r="E48">
            <v>0.88</v>
          </cell>
        </row>
        <row r="49">
          <cell r="E49">
            <v>0.91</v>
          </cell>
        </row>
        <row r="50">
          <cell r="E50">
            <v>0.94</v>
          </cell>
        </row>
        <row r="51">
          <cell r="E51">
            <v>0.97</v>
          </cell>
        </row>
        <row r="52">
          <cell r="E52">
            <v>1</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FF"/>
  </sheetPr>
  <dimension ref="B1:M36"/>
  <sheetViews>
    <sheetView workbookViewId="0">
      <selection activeCell="I14" sqref="I14"/>
    </sheetView>
  </sheetViews>
  <sheetFormatPr baseColWidth="10" defaultRowHeight="15" x14ac:dyDescent="0.25"/>
  <cols>
    <col min="2" max="2" width="40.85546875" customWidth="1"/>
    <col min="3" max="3" width="38.5703125" customWidth="1"/>
    <col min="4" max="4" width="13.5703125" bestFit="1" customWidth="1"/>
    <col min="9" max="9" width="51.42578125" customWidth="1"/>
  </cols>
  <sheetData>
    <row r="1" spans="2:11" ht="15.75" thickBot="1" x14ac:dyDescent="0.3"/>
    <row r="2" spans="2:11" ht="15.75" thickBot="1" x14ac:dyDescent="0.3">
      <c r="B2" s="255" t="s">
        <v>6</v>
      </c>
      <c r="C2" s="256"/>
      <c r="D2" s="256"/>
      <c r="E2" s="256"/>
      <c r="F2" s="256"/>
      <c r="G2" s="256"/>
      <c r="H2" s="257"/>
      <c r="I2" s="258" t="s">
        <v>53</v>
      </c>
    </row>
    <row r="3" spans="2:11" ht="30.75" customHeight="1" thickBot="1" x14ac:dyDescent="0.3">
      <c r="B3" s="261" t="s">
        <v>5</v>
      </c>
      <c r="C3" s="262"/>
      <c r="D3" s="262"/>
      <c r="E3" s="262"/>
      <c r="F3" s="262"/>
      <c r="G3" s="262"/>
      <c r="H3" s="263"/>
      <c r="I3" s="259"/>
    </row>
    <row r="4" spans="2:11" ht="30.75" customHeight="1" thickBot="1" x14ac:dyDescent="0.3">
      <c r="B4" s="264" t="s">
        <v>98</v>
      </c>
      <c r="C4" s="265"/>
      <c r="D4" s="265"/>
      <c r="E4" s="265"/>
      <c r="F4" s="265"/>
      <c r="G4" s="265"/>
      <c r="H4" s="265"/>
      <c r="I4" s="259"/>
    </row>
    <row r="5" spans="2:11" ht="27.75" customHeight="1" thickBot="1" x14ac:dyDescent="0.3">
      <c r="B5" s="261" t="s">
        <v>0</v>
      </c>
      <c r="C5" s="262"/>
      <c r="D5" s="262"/>
      <c r="E5" s="262"/>
      <c r="F5" s="262"/>
      <c r="G5" s="262"/>
      <c r="H5" s="263"/>
      <c r="I5" s="259"/>
    </row>
    <row r="6" spans="2:11" ht="15.75" thickBot="1" x14ac:dyDescent="0.3">
      <c r="B6" s="105" t="s">
        <v>1</v>
      </c>
      <c r="C6" s="266" t="s">
        <v>102</v>
      </c>
      <c r="D6" s="267"/>
      <c r="E6" s="267"/>
      <c r="F6" s="267"/>
      <c r="G6" s="267"/>
      <c r="H6" s="268"/>
      <c r="I6" s="260"/>
    </row>
    <row r="7" spans="2:11" x14ac:dyDescent="0.25">
      <c r="B7" s="247" t="s">
        <v>162</v>
      </c>
      <c r="C7" s="249" t="s">
        <v>163</v>
      </c>
      <c r="D7" s="251" t="s">
        <v>4</v>
      </c>
      <c r="E7" s="252"/>
      <c r="F7" s="252"/>
      <c r="G7" s="252"/>
      <c r="H7" s="252"/>
      <c r="I7" s="253" t="s">
        <v>164</v>
      </c>
    </row>
    <row r="8" spans="2:11" x14ac:dyDescent="0.25">
      <c r="B8" s="248"/>
      <c r="C8" s="250"/>
      <c r="D8" s="33">
        <v>2021</v>
      </c>
      <c r="E8" s="33">
        <v>2022</v>
      </c>
      <c r="F8" s="33">
        <v>2023</v>
      </c>
      <c r="G8" s="33">
        <v>2024</v>
      </c>
      <c r="H8" s="72">
        <v>2025</v>
      </c>
      <c r="I8" s="254"/>
    </row>
    <row r="9" spans="2:11" x14ac:dyDescent="0.25">
      <c r="B9" s="88" t="s">
        <v>145</v>
      </c>
      <c r="C9" s="90" t="s">
        <v>146</v>
      </c>
      <c r="D9" s="35">
        <f>'[1] Soledad 2904-2'!$D$12</f>
        <v>670160</v>
      </c>
      <c r="E9" s="35">
        <f>'[1] Soledad 2904-2'!$D$13</f>
        <v>680194</v>
      </c>
      <c r="F9" s="35">
        <f>'[1] Soledad 2904-2'!$D$14</f>
        <v>688052</v>
      </c>
      <c r="G9" s="35">
        <f>'[1] Soledad 2904-2'!$D$15</f>
        <v>695192</v>
      </c>
      <c r="H9" s="73">
        <f>'[1] Soledad 2904-2'!$D$16</f>
        <v>702014.5</v>
      </c>
      <c r="I9" s="254"/>
    </row>
    <row r="10" spans="2:11" x14ac:dyDescent="0.25">
      <c r="B10" s="88" t="s">
        <v>14</v>
      </c>
      <c r="C10" s="91" t="s">
        <v>147</v>
      </c>
      <c r="D10" s="37" t="s">
        <v>50</v>
      </c>
      <c r="E10" s="37" t="s">
        <v>50</v>
      </c>
      <c r="F10" s="37" t="s">
        <v>50</v>
      </c>
      <c r="G10" s="37" t="s">
        <v>50</v>
      </c>
      <c r="H10" s="74" t="s">
        <v>50</v>
      </c>
      <c r="I10" s="254"/>
    </row>
    <row r="11" spans="2:11" ht="30" x14ac:dyDescent="0.25">
      <c r="B11" s="87" t="s">
        <v>39</v>
      </c>
      <c r="C11" s="92" t="s">
        <v>148</v>
      </c>
      <c r="D11" s="59">
        <f>'[1] Soledad 2904-2'!$D$31</f>
        <v>772.14102235660505</v>
      </c>
      <c r="E11" s="59">
        <f>'[1] Soledad 2904-2'!$D$32</f>
        <v>783.70193768775914</v>
      </c>
      <c r="F11" s="59">
        <f>'[1] Soledad 2904-2'!$D$33</f>
        <v>792.75572208801907</v>
      </c>
      <c r="G11" s="59">
        <f>'[1] Soledad 2904-2'!$D$34</f>
        <v>800.98224545501523</v>
      </c>
      <c r="H11" s="75">
        <f>'[1] Soledad 2904-2'!$D$35</f>
        <v>808.84295353223263</v>
      </c>
      <c r="I11" s="254"/>
    </row>
    <row r="12" spans="2:11" ht="30" x14ac:dyDescent="0.25">
      <c r="B12" s="88" t="s">
        <v>40</v>
      </c>
      <c r="C12" s="121" t="s">
        <v>148</v>
      </c>
      <c r="D12" s="60">
        <f>'[1] Soledad 2904-2'!$E$31</f>
        <v>41.398721159684271</v>
      </c>
      <c r="E12" s="60">
        <f>'[1] Soledad 2904-2'!$E$32</f>
        <v>42.640682794474799</v>
      </c>
      <c r="F12" s="60">
        <f>'[1] Soledad 2904-2'!$E$33</f>
        <v>43.919903278309043</v>
      </c>
      <c r="G12" s="60">
        <f>'[1] Soledad 2904-2'!$E$34</f>
        <v>45.237500376658318</v>
      </c>
      <c r="H12" s="60">
        <f>'[1] Soledad 2904-2'!$F$35</f>
        <v>855.43757892019073</v>
      </c>
      <c r="I12" s="240"/>
    </row>
    <row r="13" spans="2:11" ht="75" x14ac:dyDescent="0.25">
      <c r="B13" s="125" t="s">
        <v>42</v>
      </c>
      <c r="C13" s="126" t="s">
        <v>149</v>
      </c>
      <c r="D13" s="113">
        <f>SUM(D11:D12)</f>
        <v>813.53974351628926</v>
      </c>
      <c r="E13" s="113">
        <f t="shared" ref="E13:H13" si="0">SUM(E11:E12)</f>
        <v>826.342620482234</v>
      </c>
      <c r="F13" s="113">
        <f t="shared" si="0"/>
        <v>836.67562536632806</v>
      </c>
      <c r="G13" s="113">
        <f t="shared" si="0"/>
        <v>846.21974583167355</v>
      </c>
      <c r="H13" s="113">
        <f t="shared" si="0"/>
        <v>1664.2805324524234</v>
      </c>
      <c r="I13" s="87" t="s">
        <v>166</v>
      </c>
      <c r="K13" s="123"/>
    </row>
    <row r="14" spans="2:11" ht="45" x14ac:dyDescent="0.25">
      <c r="B14" s="125" t="s">
        <v>167</v>
      </c>
      <c r="C14" s="92" t="s">
        <v>105</v>
      </c>
      <c r="D14" s="113">
        <f>(D9*133/86400)</f>
        <v>1031.612037037037</v>
      </c>
      <c r="E14" s="113">
        <f t="shared" ref="E14:H14" si="1">(E9*133/86400)</f>
        <v>1047.0578935185185</v>
      </c>
      <c r="F14" s="113">
        <f t="shared" si="1"/>
        <v>1059.1541203703703</v>
      </c>
      <c r="G14" s="113">
        <f t="shared" si="1"/>
        <v>1070.1450925925926</v>
      </c>
      <c r="H14" s="113">
        <f t="shared" si="1"/>
        <v>1080.6473206018518</v>
      </c>
      <c r="I14" s="124" t="s">
        <v>168</v>
      </c>
      <c r="K14" s="123"/>
    </row>
    <row r="15" spans="2:11" x14ac:dyDescent="0.25">
      <c r="B15" s="107" t="s">
        <v>17</v>
      </c>
      <c r="C15" s="110" t="s">
        <v>58</v>
      </c>
      <c r="D15" s="40">
        <v>250</v>
      </c>
      <c r="E15" s="40">
        <v>250</v>
      </c>
      <c r="F15" s="40">
        <v>250</v>
      </c>
      <c r="G15" s="40">
        <v>250</v>
      </c>
      <c r="H15" s="77">
        <v>250</v>
      </c>
      <c r="I15" s="239" t="s">
        <v>104</v>
      </c>
    </row>
    <row r="16" spans="2:11" x14ac:dyDescent="0.25">
      <c r="B16" s="88" t="s">
        <v>20</v>
      </c>
      <c r="C16" s="93" t="s">
        <v>58</v>
      </c>
      <c r="D16" s="40">
        <v>250</v>
      </c>
      <c r="E16" s="40">
        <v>250</v>
      </c>
      <c r="F16" s="40">
        <v>250</v>
      </c>
      <c r="G16" s="40">
        <v>250</v>
      </c>
      <c r="H16" s="77">
        <v>250</v>
      </c>
      <c r="I16" s="240"/>
    </row>
    <row r="17" spans="2:13" x14ac:dyDescent="0.25">
      <c r="B17" s="107" t="s">
        <v>62</v>
      </c>
      <c r="C17" s="241" t="s">
        <v>150</v>
      </c>
      <c r="D17" s="120">
        <v>70</v>
      </c>
      <c r="E17" s="120">
        <v>70</v>
      </c>
      <c r="F17" s="120">
        <v>70</v>
      </c>
      <c r="G17" s="120">
        <v>70</v>
      </c>
      <c r="H17" s="120">
        <v>70</v>
      </c>
      <c r="I17" s="239" t="s">
        <v>169</v>
      </c>
    </row>
    <row r="18" spans="2:13" x14ac:dyDescent="0.25">
      <c r="B18" s="88" t="s">
        <v>63</v>
      </c>
      <c r="C18" s="242"/>
      <c r="D18" s="120">
        <v>70</v>
      </c>
      <c r="E18" s="120">
        <v>70</v>
      </c>
      <c r="F18" s="120">
        <v>70</v>
      </c>
      <c r="G18" s="120">
        <v>70</v>
      </c>
      <c r="H18" s="120">
        <v>70</v>
      </c>
      <c r="I18" s="240"/>
    </row>
    <row r="19" spans="2:13" ht="30" x14ac:dyDescent="0.25">
      <c r="B19" s="106" t="s">
        <v>57</v>
      </c>
      <c r="C19" s="110" t="s">
        <v>59</v>
      </c>
      <c r="D19" s="111">
        <v>190.64285714285714</v>
      </c>
      <c r="E19" s="111">
        <v>190.64285714285714</v>
      </c>
      <c r="F19" s="111">
        <v>190.64285714285714</v>
      </c>
      <c r="G19" s="111">
        <v>190.64285714285714</v>
      </c>
      <c r="H19" s="111">
        <v>190.64285714285714</v>
      </c>
      <c r="I19" s="239" t="s">
        <v>80</v>
      </c>
    </row>
    <row r="20" spans="2:13" ht="30" x14ac:dyDescent="0.25">
      <c r="B20" s="107" t="s">
        <v>60</v>
      </c>
      <c r="C20" s="110" t="s">
        <v>59</v>
      </c>
      <c r="D20" s="111">
        <v>147.15714285714284</v>
      </c>
      <c r="E20" s="111">
        <v>147.15714285714284</v>
      </c>
      <c r="F20" s="111">
        <v>147.15714285714284</v>
      </c>
      <c r="G20" s="111">
        <v>147.15714285714284</v>
      </c>
      <c r="H20" s="112">
        <v>147.15714285714284</v>
      </c>
      <c r="I20" s="240"/>
    </row>
    <row r="21" spans="2:13" x14ac:dyDescent="0.25">
      <c r="B21" s="97" t="s">
        <v>67</v>
      </c>
      <c r="C21" s="243" t="s">
        <v>170</v>
      </c>
      <c r="D21" s="117">
        <f>D14*D19*0.0864*365*(1-D28/100)</f>
        <v>6202168.2862000009</v>
      </c>
      <c r="E21" s="117">
        <f t="shared" ref="E21:H21" si="2">E14*E19*0.0864*365*(1-E28/100)</f>
        <v>6295030.5229549995</v>
      </c>
      <c r="F21" s="117">
        <f t="shared" si="2"/>
        <v>6367754.4073899994</v>
      </c>
      <c r="G21" s="117">
        <f t="shared" si="2"/>
        <v>6433833.3759399997</v>
      </c>
      <c r="H21" s="117">
        <f t="shared" si="2"/>
        <v>6496973.9589837492</v>
      </c>
      <c r="I21" s="245" t="s">
        <v>171</v>
      </c>
      <c r="K21" s="122"/>
      <c r="L21" s="29"/>
      <c r="M21" s="122"/>
    </row>
    <row r="22" spans="2:13" ht="86.25" customHeight="1" x14ac:dyDescent="0.25">
      <c r="B22" s="97" t="s">
        <v>68</v>
      </c>
      <c r="C22" s="244"/>
      <c r="D22" s="115">
        <f>D14*D20*0.0864*365*(1-D29/100)</f>
        <v>4787451.14396</v>
      </c>
      <c r="E22" s="115">
        <f t="shared" ref="E22:H22" si="3">E14*E20*0.0864*365*(1-E29/100)</f>
        <v>4859131.4662389997</v>
      </c>
      <c r="F22" s="115">
        <f t="shared" si="3"/>
        <v>4915267.0026619993</v>
      </c>
      <c r="G22" s="115">
        <f t="shared" si="3"/>
        <v>4966273.3312519994</v>
      </c>
      <c r="H22" s="115">
        <f t="shared" si="3"/>
        <v>5015011.5212807497</v>
      </c>
      <c r="I22" s="246"/>
    </row>
    <row r="23" spans="2:13" x14ac:dyDescent="0.25">
      <c r="B23" s="98" t="s">
        <v>67</v>
      </c>
      <c r="C23" s="231" t="s">
        <v>89</v>
      </c>
      <c r="D23" s="63">
        <f>D13*D17*0.0864*365</f>
        <v>1795905.2546070791</v>
      </c>
      <c r="E23" s="63">
        <f t="shared" ref="E23:H23" si="4">E13*E17*0.0864*365</f>
        <v>1824167.8615669413</v>
      </c>
      <c r="F23" s="63">
        <f t="shared" si="4"/>
        <v>1846978.1765086767</v>
      </c>
      <c r="G23" s="63">
        <f t="shared" si="4"/>
        <v>1868047.0133183361</v>
      </c>
      <c r="H23" s="63">
        <f t="shared" si="4"/>
        <v>3673932.5609993734</v>
      </c>
      <c r="I23" s="233" t="s">
        <v>165</v>
      </c>
    </row>
    <row r="24" spans="2:13" x14ac:dyDescent="0.25">
      <c r="B24" s="98" t="s">
        <v>68</v>
      </c>
      <c r="C24" s="232"/>
      <c r="D24" s="64">
        <f>D13*D18*0.0864*365</f>
        <v>1795905.2546070791</v>
      </c>
      <c r="E24" s="64">
        <f t="shared" ref="E24:H24" si="5">E13*E18*0.0864*365</f>
        <v>1824167.8615669413</v>
      </c>
      <c r="F24" s="64">
        <f t="shared" si="5"/>
        <v>1846978.1765086767</v>
      </c>
      <c r="G24" s="64">
        <f t="shared" si="5"/>
        <v>1868047.0133183361</v>
      </c>
      <c r="H24" s="64">
        <f t="shared" si="5"/>
        <v>3673932.5609993734</v>
      </c>
      <c r="I24" s="234"/>
    </row>
    <row r="25" spans="2:13" ht="30" x14ac:dyDescent="0.25">
      <c r="B25" s="99" t="s">
        <v>15</v>
      </c>
      <c r="C25" s="94"/>
      <c r="D25" s="42" t="s">
        <v>50</v>
      </c>
      <c r="E25" s="42" t="s">
        <v>50</v>
      </c>
      <c r="F25" s="42" t="s">
        <v>50</v>
      </c>
      <c r="G25" s="42" t="s">
        <v>50</v>
      </c>
      <c r="H25" s="82" t="s">
        <v>50</v>
      </c>
      <c r="I25" s="235" t="s">
        <v>65</v>
      </c>
    </row>
    <row r="26" spans="2:13" ht="30" x14ac:dyDescent="0.25">
      <c r="B26" s="100" t="s">
        <v>16</v>
      </c>
      <c r="C26" s="95"/>
      <c r="D26" s="43" t="s">
        <v>50</v>
      </c>
      <c r="E26" s="43" t="s">
        <v>50</v>
      </c>
      <c r="F26" s="43" t="s">
        <v>50</v>
      </c>
      <c r="G26" s="43" t="s">
        <v>50</v>
      </c>
      <c r="H26" s="83" t="s">
        <v>50</v>
      </c>
      <c r="I26" s="236"/>
    </row>
    <row r="27" spans="2:13" ht="90" x14ac:dyDescent="0.25">
      <c r="B27" s="107" t="s">
        <v>2</v>
      </c>
      <c r="C27" s="96" t="s">
        <v>92</v>
      </c>
      <c r="D27" s="57" t="s">
        <v>50</v>
      </c>
      <c r="E27" s="57" t="s">
        <v>50</v>
      </c>
      <c r="F27" s="57" t="s">
        <v>50</v>
      </c>
      <c r="G27" s="57" t="s">
        <v>50</v>
      </c>
      <c r="H27" s="57" t="s">
        <v>50</v>
      </c>
      <c r="I27" s="88" t="s">
        <v>172</v>
      </c>
    </row>
    <row r="28" spans="2:13" x14ac:dyDescent="0.25">
      <c r="B28" s="88" t="s">
        <v>43</v>
      </c>
      <c r="C28" s="237" t="s">
        <v>52</v>
      </c>
      <c r="D28" s="40">
        <v>0</v>
      </c>
      <c r="E28" s="40">
        <v>0</v>
      </c>
      <c r="F28" s="40">
        <v>0</v>
      </c>
      <c r="G28" s="40">
        <v>0</v>
      </c>
      <c r="H28" s="40">
        <v>0</v>
      </c>
      <c r="I28" s="239"/>
    </row>
    <row r="29" spans="2:13" x14ac:dyDescent="0.25">
      <c r="B29" s="101" t="s">
        <v>44</v>
      </c>
      <c r="C29" s="238"/>
      <c r="D29" s="40">
        <v>0</v>
      </c>
      <c r="E29" s="40">
        <v>0</v>
      </c>
      <c r="F29" s="40">
        <v>0</v>
      </c>
      <c r="G29" s="40">
        <v>0</v>
      </c>
      <c r="H29" s="40">
        <v>0</v>
      </c>
      <c r="I29" s="240"/>
    </row>
    <row r="30" spans="2:13" ht="30" x14ac:dyDescent="0.25">
      <c r="B30" s="102" t="s">
        <v>155</v>
      </c>
      <c r="C30" s="220" t="s">
        <v>77</v>
      </c>
      <c r="D30" s="46">
        <f>'[1] Soledad 2904-2'!$E$41</f>
        <v>6413947.3378824238</v>
      </c>
      <c r="E30" s="46">
        <f>'[1] Soledad 2904-2'!$E$42</f>
        <v>6514885.2198819341</v>
      </c>
      <c r="F30" s="46">
        <f>'[1] Soledad 2904-2'!$E$43</f>
        <v>6596350.6303881304</v>
      </c>
      <c r="G30" s="46">
        <f>'[1] Soledad 2904-2'!$E$44</f>
        <v>6671596.4761369154</v>
      </c>
      <c r="H30" s="46">
        <f>'[1] Soledad 2904-2'!$E$45</f>
        <v>6744269.8722067839</v>
      </c>
      <c r="I30" s="222" t="s">
        <v>173</v>
      </c>
    </row>
    <row r="31" spans="2:13" ht="60" customHeight="1" x14ac:dyDescent="0.25">
      <c r="B31" s="103" t="s">
        <v>157</v>
      </c>
      <c r="C31" s="221"/>
      <c r="D31" s="46">
        <f>'[1] Soledad 2904-2'!$F$41</f>
        <v>6413947.3378824238</v>
      </c>
      <c r="E31" s="46">
        <f>'[1] Soledad 2904-2'!$F$42</f>
        <v>6514885.2198819341</v>
      </c>
      <c r="F31" s="46">
        <f>'[1] Soledad 2904-2'!$F$43</f>
        <v>6596350.6303881304</v>
      </c>
      <c r="G31" s="46">
        <f>'[1] Soledad 2904-2'!$F$44</f>
        <v>6671596.4761369154</v>
      </c>
      <c r="H31" s="46">
        <f>'[1] Soledad 2904-2'!$F$45</f>
        <v>6744269.8722067839</v>
      </c>
      <c r="I31" s="223"/>
    </row>
    <row r="32" spans="2:13" ht="45.75" thickBot="1" x14ac:dyDescent="0.3">
      <c r="B32" s="104" t="s">
        <v>158</v>
      </c>
      <c r="C32" s="119" t="s">
        <v>66</v>
      </c>
      <c r="D32" s="71"/>
      <c r="E32" s="71"/>
      <c r="F32" s="71"/>
      <c r="G32" s="71"/>
      <c r="H32" s="86"/>
      <c r="I32" s="89" t="s">
        <v>174</v>
      </c>
    </row>
    <row r="33" spans="2:9" ht="40.5" customHeight="1" thickBot="1" x14ac:dyDescent="0.3">
      <c r="B33" s="70" t="s">
        <v>160</v>
      </c>
      <c r="C33" s="224" t="s">
        <v>175</v>
      </c>
      <c r="D33" s="225"/>
      <c r="E33" s="225"/>
      <c r="F33" s="225"/>
      <c r="G33" s="225"/>
      <c r="H33" s="225"/>
      <c r="I33" s="226"/>
    </row>
    <row r="34" spans="2:9" ht="30.75" thickBot="1" x14ac:dyDescent="0.3">
      <c r="B34" s="22" t="s">
        <v>32</v>
      </c>
      <c r="C34" s="227" t="s">
        <v>111</v>
      </c>
      <c r="D34" s="48">
        <f>D21</f>
        <v>6202168.2862000009</v>
      </c>
      <c r="E34" s="48">
        <f t="shared" ref="E34:H35" si="6">E21</f>
        <v>6295030.5229549995</v>
      </c>
      <c r="F34" s="48">
        <f t="shared" si="6"/>
        <v>6367754.4073899994</v>
      </c>
      <c r="G34" s="48">
        <f t="shared" si="6"/>
        <v>6433833.3759399997</v>
      </c>
      <c r="H34" s="48">
        <f t="shared" si="6"/>
        <v>6496973.9589837492</v>
      </c>
      <c r="I34" s="229" t="s">
        <v>176</v>
      </c>
    </row>
    <row r="35" spans="2:9" ht="99.75" customHeight="1" thickBot="1" x14ac:dyDescent="0.3">
      <c r="B35" s="25" t="s">
        <v>33</v>
      </c>
      <c r="C35" s="228"/>
      <c r="D35" s="49">
        <f>D22</f>
        <v>4787451.14396</v>
      </c>
      <c r="E35" s="49">
        <f t="shared" si="6"/>
        <v>4859131.4662389997</v>
      </c>
      <c r="F35" s="49">
        <f t="shared" si="6"/>
        <v>4915267.0026619993</v>
      </c>
      <c r="G35" s="49">
        <f t="shared" si="6"/>
        <v>4966273.3312519994</v>
      </c>
      <c r="H35" s="49">
        <f t="shared" si="6"/>
        <v>5015011.5212807497</v>
      </c>
      <c r="I35" s="230"/>
    </row>
    <row r="36" spans="2:9" ht="45.75" thickBot="1" x14ac:dyDescent="0.3">
      <c r="B36" s="66" t="s">
        <v>13</v>
      </c>
      <c r="C36" s="67"/>
      <c r="D36" s="68">
        <v>0</v>
      </c>
      <c r="E36" s="68">
        <v>10</v>
      </c>
      <c r="F36" s="68">
        <v>10</v>
      </c>
      <c r="G36" s="68">
        <v>10</v>
      </c>
      <c r="H36" s="68">
        <v>20</v>
      </c>
      <c r="I36" s="69" t="s">
        <v>103</v>
      </c>
    </row>
  </sheetData>
  <mergeCells count="26">
    <mergeCell ref="B2:H2"/>
    <mergeCell ref="I2:I6"/>
    <mergeCell ref="B3:H3"/>
    <mergeCell ref="B4:H4"/>
    <mergeCell ref="B5:H5"/>
    <mergeCell ref="C6:H6"/>
    <mergeCell ref="B7:B8"/>
    <mergeCell ref="C7:C8"/>
    <mergeCell ref="D7:H7"/>
    <mergeCell ref="I7:I12"/>
    <mergeCell ref="I15:I16"/>
    <mergeCell ref="C17:C18"/>
    <mergeCell ref="I17:I18"/>
    <mergeCell ref="I19:I20"/>
    <mergeCell ref="C21:C22"/>
    <mergeCell ref="I21:I22"/>
    <mergeCell ref="C23:C24"/>
    <mergeCell ref="I23:I24"/>
    <mergeCell ref="I25:I26"/>
    <mergeCell ref="C28:C29"/>
    <mergeCell ref="I28:I29"/>
    <mergeCell ref="C30:C31"/>
    <mergeCell ref="I30:I31"/>
    <mergeCell ref="C33:I33"/>
    <mergeCell ref="C34:C35"/>
    <mergeCell ref="I34:I35"/>
  </mergeCell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0.89999084444715716"/>
  </sheetPr>
  <dimension ref="C1:J35"/>
  <sheetViews>
    <sheetView topLeftCell="A22" workbookViewId="0">
      <selection activeCell="J33" sqref="J33:J34"/>
    </sheetView>
  </sheetViews>
  <sheetFormatPr baseColWidth="10" defaultRowHeight="15" x14ac:dyDescent="0.25"/>
  <cols>
    <col min="3" max="3" width="40.85546875" customWidth="1"/>
    <col min="4" max="4" width="38.5703125" customWidth="1"/>
    <col min="5" max="5" width="11.85546875" bestFit="1" customWidth="1"/>
    <col min="10" max="10" width="51.42578125" customWidth="1"/>
  </cols>
  <sheetData>
    <row r="1" spans="3:10" ht="15.75" thickBot="1" x14ac:dyDescent="0.3"/>
    <row r="2" spans="3:10" ht="15.75" thickBot="1" x14ac:dyDescent="0.3">
      <c r="C2" s="255" t="s">
        <v>6</v>
      </c>
      <c r="D2" s="256"/>
      <c r="E2" s="256"/>
      <c r="F2" s="256"/>
      <c r="G2" s="256"/>
      <c r="H2" s="256"/>
      <c r="I2" s="257"/>
      <c r="J2" s="258" t="s">
        <v>53</v>
      </c>
    </row>
    <row r="3" spans="3:10" ht="30.75" customHeight="1" thickBot="1" x14ac:dyDescent="0.3">
      <c r="C3" s="261" t="s">
        <v>5</v>
      </c>
      <c r="D3" s="262"/>
      <c r="E3" s="262"/>
      <c r="F3" s="262"/>
      <c r="G3" s="262"/>
      <c r="H3" s="262"/>
      <c r="I3" s="263"/>
      <c r="J3" s="259"/>
    </row>
    <row r="4" spans="3:10" ht="30.75" customHeight="1" thickBot="1" x14ac:dyDescent="0.3">
      <c r="C4" s="264" t="s">
        <v>7</v>
      </c>
      <c r="D4" s="265"/>
      <c r="E4" s="265"/>
      <c r="F4" s="265"/>
      <c r="G4" s="265"/>
      <c r="H4" s="265"/>
      <c r="I4" s="265"/>
      <c r="J4" s="259"/>
    </row>
    <row r="5" spans="3:10" ht="27.75" customHeight="1" thickBot="1" x14ac:dyDescent="0.3">
      <c r="C5" s="261" t="s">
        <v>0</v>
      </c>
      <c r="D5" s="262"/>
      <c r="E5" s="262"/>
      <c r="F5" s="262"/>
      <c r="G5" s="262"/>
      <c r="H5" s="262"/>
      <c r="I5" s="263"/>
      <c r="J5" s="259"/>
    </row>
    <row r="6" spans="3:10" ht="15.75" thickBot="1" x14ac:dyDescent="0.3">
      <c r="C6" s="105" t="s">
        <v>1</v>
      </c>
      <c r="D6" s="266" t="s">
        <v>84</v>
      </c>
      <c r="E6" s="267"/>
      <c r="F6" s="267"/>
      <c r="G6" s="267"/>
      <c r="H6" s="267"/>
      <c r="I6" s="268"/>
      <c r="J6" s="260"/>
    </row>
    <row r="7" spans="3:10" ht="15" customHeight="1" x14ac:dyDescent="0.25">
      <c r="C7" s="247" t="s">
        <v>162</v>
      </c>
      <c r="D7" s="249" t="s">
        <v>163</v>
      </c>
      <c r="E7" s="251" t="s">
        <v>4</v>
      </c>
      <c r="F7" s="252"/>
      <c r="G7" s="252"/>
      <c r="H7" s="252"/>
      <c r="I7" s="252"/>
      <c r="J7" s="253" t="s">
        <v>164</v>
      </c>
    </row>
    <row r="8" spans="3:10" x14ac:dyDescent="0.25">
      <c r="C8" s="248"/>
      <c r="D8" s="250"/>
      <c r="E8" s="33">
        <v>2021</v>
      </c>
      <c r="F8" s="33">
        <v>2022</v>
      </c>
      <c r="G8" s="33">
        <v>2023</v>
      </c>
      <c r="H8" s="33">
        <v>2024</v>
      </c>
      <c r="I8" s="72">
        <v>2025</v>
      </c>
      <c r="J8" s="254"/>
    </row>
    <row r="9" spans="3:10" x14ac:dyDescent="0.25">
      <c r="C9" s="88" t="s">
        <v>145</v>
      </c>
      <c r="D9" s="90" t="s">
        <v>146</v>
      </c>
      <c r="E9" s="35">
        <f>'[1]Ponedera 2904-5'!$F$12</f>
        <v>14841.5</v>
      </c>
      <c r="F9" s="35">
        <f>'[1]Ponedera 2904-5'!$F$13</f>
        <v>15122.5</v>
      </c>
      <c r="G9" s="35">
        <f>'[1]Ponedera 2904-5'!$F$14</f>
        <v>15344</v>
      </c>
      <c r="H9" s="35">
        <f>'[1]Ponedera 2904-5'!$F$15</f>
        <v>15542</v>
      </c>
      <c r="I9" s="73">
        <f>'[1]Ponedera 2904-5'!$F$16</f>
        <v>15713.5</v>
      </c>
      <c r="J9" s="254"/>
    </row>
    <row r="10" spans="3:10" x14ac:dyDescent="0.25">
      <c r="C10" s="88" t="s">
        <v>14</v>
      </c>
      <c r="D10" s="91" t="s">
        <v>147</v>
      </c>
      <c r="E10" s="37" t="s">
        <v>50</v>
      </c>
      <c r="F10" s="37" t="s">
        <v>50</v>
      </c>
      <c r="G10" s="37" t="s">
        <v>50</v>
      </c>
      <c r="H10" s="37" t="s">
        <v>50</v>
      </c>
      <c r="I10" s="74" t="s">
        <v>50</v>
      </c>
      <c r="J10" s="254"/>
    </row>
    <row r="11" spans="3:10" ht="30" x14ac:dyDescent="0.25">
      <c r="C11" s="87" t="s">
        <v>39</v>
      </c>
      <c r="D11" s="92" t="s">
        <v>148</v>
      </c>
      <c r="E11" s="59">
        <f>'[1]Ponedera 2904-5'!$D$31</f>
        <v>23.074753414351854</v>
      </c>
      <c r="F11" s="59">
        <f>'[1]Ponedera 2904-5'!$D$32</f>
        <v>23.511636863425927</v>
      </c>
      <c r="G11" s="59">
        <f>'[1]Ponedera 2904-5'!$D$33</f>
        <v>23.856012962962964</v>
      </c>
      <c r="H11" s="59">
        <f>'[1]Ponedera 2904-5'!$D$34</f>
        <v>24.163852546296297</v>
      </c>
      <c r="I11" s="75">
        <f>'[1]Ponedera 2904-5'!$D$35</f>
        <v>24.430491377314816</v>
      </c>
      <c r="J11" s="254"/>
    </row>
    <row r="12" spans="3:10" ht="30" x14ac:dyDescent="0.25">
      <c r="C12" s="88" t="s">
        <v>40</v>
      </c>
      <c r="D12" s="90" t="s">
        <v>148</v>
      </c>
      <c r="E12" s="60">
        <v>0</v>
      </c>
      <c r="F12" s="60">
        <v>0</v>
      </c>
      <c r="G12" s="60">
        <v>0</v>
      </c>
      <c r="H12" s="60">
        <v>0</v>
      </c>
      <c r="I12" s="60">
        <v>0</v>
      </c>
      <c r="J12" s="240"/>
    </row>
    <row r="13" spans="3:10" x14ac:dyDescent="0.25">
      <c r="C13" s="87" t="s">
        <v>42</v>
      </c>
      <c r="D13" s="92" t="s">
        <v>149</v>
      </c>
      <c r="E13" s="113">
        <f>E11+E12</f>
        <v>23.074753414351854</v>
      </c>
      <c r="F13" s="113">
        <f t="shared" ref="F13:I13" si="0">F11+F12</f>
        <v>23.511636863425927</v>
      </c>
      <c r="G13" s="113">
        <f t="shared" si="0"/>
        <v>23.856012962962964</v>
      </c>
      <c r="H13" s="113">
        <f t="shared" si="0"/>
        <v>24.163852546296297</v>
      </c>
      <c r="I13" s="114">
        <f t="shared" si="0"/>
        <v>24.430491377314816</v>
      </c>
      <c r="J13" s="87" t="s">
        <v>56</v>
      </c>
    </row>
    <row r="14" spans="3:10" ht="60" customHeight="1" x14ac:dyDescent="0.25">
      <c r="C14" s="107" t="s">
        <v>17</v>
      </c>
      <c r="D14" s="110" t="s">
        <v>58</v>
      </c>
      <c r="E14" s="40">
        <v>250</v>
      </c>
      <c r="F14" s="40">
        <v>250</v>
      </c>
      <c r="G14" s="40">
        <v>250</v>
      </c>
      <c r="H14" s="40">
        <v>250</v>
      </c>
      <c r="I14" s="77">
        <v>250</v>
      </c>
      <c r="J14" s="239" t="s">
        <v>104</v>
      </c>
    </row>
    <row r="15" spans="3:10" x14ac:dyDescent="0.25">
      <c r="C15" s="88" t="s">
        <v>20</v>
      </c>
      <c r="D15" s="93" t="s">
        <v>58</v>
      </c>
      <c r="E15" s="40">
        <v>250</v>
      </c>
      <c r="F15" s="40">
        <v>250</v>
      </c>
      <c r="G15" s="40">
        <v>250</v>
      </c>
      <c r="H15" s="40">
        <v>250</v>
      </c>
      <c r="I15" s="77">
        <v>250</v>
      </c>
      <c r="J15" s="240"/>
    </row>
    <row r="16" spans="3:10" ht="45" customHeight="1" x14ac:dyDescent="0.25">
      <c r="C16" s="107" t="s">
        <v>62</v>
      </c>
      <c r="D16" s="241" t="s">
        <v>150</v>
      </c>
      <c r="E16" s="40">
        <v>90</v>
      </c>
      <c r="F16" s="40">
        <v>90</v>
      </c>
      <c r="G16" s="40">
        <v>90</v>
      </c>
      <c r="H16" s="40">
        <v>90</v>
      </c>
      <c r="I16" s="77">
        <v>90</v>
      </c>
      <c r="J16" s="239" t="s">
        <v>151</v>
      </c>
    </row>
    <row r="17" spans="3:10" x14ac:dyDescent="0.25">
      <c r="C17" s="88" t="s">
        <v>63</v>
      </c>
      <c r="D17" s="242"/>
      <c r="E17" s="40">
        <v>90</v>
      </c>
      <c r="F17" s="40">
        <v>90</v>
      </c>
      <c r="G17" s="40">
        <v>90</v>
      </c>
      <c r="H17" s="40">
        <v>90</v>
      </c>
      <c r="I17" s="77">
        <v>90</v>
      </c>
      <c r="J17" s="240"/>
    </row>
    <row r="18" spans="3:10" ht="90" customHeight="1" x14ac:dyDescent="0.25">
      <c r="C18" s="106" t="s">
        <v>57</v>
      </c>
      <c r="D18" s="110" t="s">
        <v>59</v>
      </c>
      <c r="E18" s="111">
        <v>190.64285714285714</v>
      </c>
      <c r="F18" s="111">
        <v>190.64285714285714</v>
      </c>
      <c r="G18" s="111">
        <v>190.64285714285714</v>
      </c>
      <c r="H18" s="111">
        <v>190.64285714285714</v>
      </c>
      <c r="I18" s="111">
        <v>190.64285714285714</v>
      </c>
      <c r="J18" s="239" t="s">
        <v>80</v>
      </c>
    </row>
    <row r="19" spans="3:10" ht="30" x14ac:dyDescent="0.25">
      <c r="C19" s="107" t="s">
        <v>60</v>
      </c>
      <c r="D19" s="93" t="s">
        <v>59</v>
      </c>
      <c r="E19" s="111">
        <v>147.15714285714284</v>
      </c>
      <c r="F19" s="111">
        <v>147.15714285714284</v>
      </c>
      <c r="G19" s="111">
        <v>147.15714285714284</v>
      </c>
      <c r="H19" s="111">
        <v>147.15714285714284</v>
      </c>
      <c r="I19" s="112">
        <v>147.15714285714284</v>
      </c>
      <c r="J19" s="240"/>
    </row>
    <row r="20" spans="3:10" ht="75" customHeight="1" x14ac:dyDescent="0.25">
      <c r="C20" s="97" t="s">
        <v>67</v>
      </c>
      <c r="D20" s="243" t="s">
        <v>202</v>
      </c>
      <c r="E20" s="108">
        <f>E13*E18*0.0864*365*(1-E27/100)</f>
        <v>138728.02827061253</v>
      </c>
      <c r="F20" s="108">
        <f>F13*F18*0.0864*365*(1-F27/100)</f>
        <v>141354.6209966875</v>
      </c>
      <c r="G20" s="108">
        <f>G13*G18*0.0864*365*(1-G27/100)</f>
        <v>143425.04907080001</v>
      </c>
      <c r="H20" s="108">
        <f>H13*H18*0.0864*365*(1-H27/100)</f>
        <v>145275.81547565002</v>
      </c>
      <c r="I20" s="109">
        <f>I13*I18*0.0864*365*(1-I27/100)</f>
        <v>146878.8782960125</v>
      </c>
      <c r="J20" s="245" t="s">
        <v>206</v>
      </c>
    </row>
    <row r="21" spans="3:10" x14ac:dyDescent="0.25">
      <c r="C21" s="97" t="s">
        <v>68</v>
      </c>
      <c r="D21" s="244"/>
      <c r="E21" s="56">
        <f>E13*E19*0.0864*365*(1-E28/100)</f>
        <v>107084.10784680249</v>
      </c>
      <c r="F21" s="56">
        <f>F13*F19*0.0864*365*(1-F28/100)</f>
        <v>109111.57368953752</v>
      </c>
      <c r="G21" s="56">
        <f>G13*G19*0.0864*365*(1-G28/100)</f>
        <v>110709.73626664</v>
      </c>
      <c r="H21" s="56">
        <f>H13*H19*0.0864*365*(1-H28/100)</f>
        <v>112138.34209177</v>
      </c>
      <c r="I21" s="80">
        <f>I13*I19*0.0864*365*(1-I28/100)</f>
        <v>113375.74562212251</v>
      </c>
      <c r="J21" s="246"/>
    </row>
    <row r="22" spans="3:10" ht="75" customHeight="1" x14ac:dyDescent="0.25">
      <c r="C22" s="98" t="s">
        <v>67</v>
      </c>
      <c r="D22" s="231" t="s">
        <v>83</v>
      </c>
      <c r="E22" s="63">
        <f>E13*E16*0.0864*365</f>
        <v>65491.688130750015</v>
      </c>
      <c r="F22" s="63">
        <f t="shared" ref="F22:I22" si="1">F13*F16*0.0864*365</f>
        <v>66731.668211250013</v>
      </c>
      <c r="G22" s="63">
        <f t="shared" si="1"/>
        <v>67709.090232000017</v>
      </c>
      <c r="H22" s="63">
        <f t="shared" si="1"/>
        <v>68582.81285100001</v>
      </c>
      <c r="I22" s="63">
        <f t="shared" si="1"/>
        <v>69339.597846749995</v>
      </c>
      <c r="J22" s="233" t="s">
        <v>204</v>
      </c>
    </row>
    <row r="23" spans="3:10" x14ac:dyDescent="0.25">
      <c r="C23" s="98" t="s">
        <v>68</v>
      </c>
      <c r="D23" s="232"/>
      <c r="E23" s="64">
        <f>E13*E17*0.0864*365</f>
        <v>65491.688130750015</v>
      </c>
      <c r="F23" s="64">
        <f t="shared" ref="F23:I23" si="2">F13*F17*0.0864*365</f>
        <v>66731.668211250013</v>
      </c>
      <c r="G23" s="64">
        <f t="shared" si="2"/>
        <v>67709.090232000017</v>
      </c>
      <c r="H23" s="64">
        <f t="shared" si="2"/>
        <v>68582.81285100001</v>
      </c>
      <c r="I23" s="64">
        <f t="shared" si="2"/>
        <v>69339.597846749995</v>
      </c>
      <c r="J23" s="234"/>
    </row>
    <row r="24" spans="3:10" ht="30" x14ac:dyDescent="0.25">
      <c r="C24" s="99" t="s">
        <v>15</v>
      </c>
      <c r="D24" s="94"/>
      <c r="E24" s="42" t="s">
        <v>50</v>
      </c>
      <c r="F24" s="42" t="s">
        <v>50</v>
      </c>
      <c r="G24" s="42" t="s">
        <v>50</v>
      </c>
      <c r="H24" s="42" t="s">
        <v>50</v>
      </c>
      <c r="I24" s="82" t="s">
        <v>50</v>
      </c>
      <c r="J24" s="235" t="s">
        <v>65</v>
      </c>
    </row>
    <row r="25" spans="3:10" ht="30" x14ac:dyDescent="0.25">
      <c r="C25" s="100" t="s">
        <v>16</v>
      </c>
      <c r="D25" s="95"/>
      <c r="E25" s="43" t="s">
        <v>50</v>
      </c>
      <c r="F25" s="43" t="s">
        <v>50</v>
      </c>
      <c r="G25" s="43" t="s">
        <v>50</v>
      </c>
      <c r="H25" s="43" t="s">
        <v>50</v>
      </c>
      <c r="I25" s="83" t="s">
        <v>50</v>
      </c>
      <c r="J25" s="236"/>
    </row>
    <row r="26" spans="3:10" ht="45" x14ac:dyDescent="0.25">
      <c r="C26" s="107" t="s">
        <v>2</v>
      </c>
      <c r="D26" s="96"/>
      <c r="E26" s="57">
        <f>'[2]% porcentaje de remocion '!$E$8</f>
        <v>0.49</v>
      </c>
      <c r="F26" s="57">
        <f>'[2]% porcentaje de remocion '!$E$9</f>
        <v>0.54</v>
      </c>
      <c r="G26" s="57">
        <f>'[2]% porcentaje de remocion '!$E$10</f>
        <v>0.6</v>
      </c>
      <c r="H26" s="57">
        <f>'[2]% porcentaje de remocion '!$E$11</f>
        <v>0.65</v>
      </c>
      <c r="I26" s="84">
        <f>'[2]% porcentaje de remocion '!$E$12</f>
        <v>0.7</v>
      </c>
      <c r="J26" s="88" t="s">
        <v>154</v>
      </c>
    </row>
    <row r="27" spans="3:10" x14ac:dyDescent="0.25">
      <c r="C27" s="88" t="s">
        <v>43</v>
      </c>
      <c r="D27" s="237" t="s">
        <v>52</v>
      </c>
      <c r="E27" s="40">
        <v>0</v>
      </c>
      <c r="F27" s="40">
        <v>0</v>
      </c>
      <c r="G27" s="40">
        <v>0</v>
      </c>
      <c r="H27" s="40">
        <v>0</v>
      </c>
      <c r="I27" s="40">
        <v>0</v>
      </c>
      <c r="J27" s="239" t="s">
        <v>82</v>
      </c>
    </row>
    <row r="28" spans="3:10" x14ac:dyDescent="0.25">
      <c r="C28" s="101" t="s">
        <v>44</v>
      </c>
      <c r="D28" s="238"/>
      <c r="E28" s="40">
        <v>0</v>
      </c>
      <c r="F28" s="40">
        <v>0</v>
      </c>
      <c r="G28" s="40">
        <v>0</v>
      </c>
      <c r="H28" s="40">
        <v>0</v>
      </c>
      <c r="I28" s="40">
        <v>0</v>
      </c>
      <c r="J28" s="240"/>
    </row>
    <row r="29" spans="3:10" ht="30" x14ac:dyDescent="0.25">
      <c r="C29" s="102" t="s">
        <v>155</v>
      </c>
      <c r="D29" s="220" t="s">
        <v>77</v>
      </c>
      <c r="E29" s="46">
        <f>'[1]Ponedera 2904-5'!$E$41</f>
        <v>65491.688130750001</v>
      </c>
      <c r="F29" s="46">
        <f>'[1]Ponedera 2904-5'!$E$42</f>
        <v>66731.668211250013</v>
      </c>
      <c r="G29" s="46">
        <f>'[1]Ponedera 2904-5'!$E$43</f>
        <v>67709.090232000002</v>
      </c>
      <c r="H29" s="46">
        <f>'[1]Ponedera 2904-5'!$E$44</f>
        <v>68582.81285100001</v>
      </c>
      <c r="I29" s="85">
        <f>'[1]Ponedera 2904-5'!$E$45</f>
        <v>69339.597846749995</v>
      </c>
      <c r="J29" s="222" t="s">
        <v>85</v>
      </c>
    </row>
    <row r="30" spans="3:10" ht="30" x14ac:dyDescent="0.25">
      <c r="C30" s="103" t="s">
        <v>157</v>
      </c>
      <c r="D30" s="221"/>
      <c r="E30" s="46">
        <f>'[1]Ponedera 2904-5'!$F$41</f>
        <v>65491.688130750001</v>
      </c>
      <c r="F30" s="46">
        <f>'[1]Ponedera 2904-5'!$F$42</f>
        <v>66731.668211250013</v>
      </c>
      <c r="G30" s="46">
        <f>'[1]Ponedera 2904-5'!$F$43</f>
        <v>67709.090232000002</v>
      </c>
      <c r="H30" s="46">
        <f>'[1]Ponedera 2904-5'!$F$44</f>
        <v>68582.81285100001</v>
      </c>
      <c r="I30" s="85">
        <f>'[1]Ponedera 2904-5'!$F$45</f>
        <v>69339.597846749995</v>
      </c>
      <c r="J30" s="223"/>
    </row>
    <row r="31" spans="3:10" ht="45.75" thickBot="1" x14ac:dyDescent="0.3">
      <c r="C31" s="104" t="s">
        <v>158</v>
      </c>
      <c r="D31" s="65" t="s">
        <v>66</v>
      </c>
      <c r="E31" s="71"/>
      <c r="F31" s="71"/>
      <c r="G31" s="71"/>
      <c r="H31" s="71"/>
      <c r="I31" s="86"/>
      <c r="J31" s="89" t="s">
        <v>159</v>
      </c>
    </row>
    <row r="32" spans="3:10" ht="38.25" customHeight="1" thickBot="1" x14ac:dyDescent="0.3">
      <c r="C32" s="70" t="s">
        <v>160</v>
      </c>
      <c r="D32" s="224" t="s">
        <v>207</v>
      </c>
      <c r="E32" s="225"/>
      <c r="F32" s="225"/>
      <c r="G32" s="225"/>
      <c r="H32" s="225"/>
      <c r="I32" s="225"/>
      <c r="J32" s="226"/>
    </row>
    <row r="33" spans="3:10" ht="30.75" thickBot="1" x14ac:dyDescent="0.3">
      <c r="C33" s="22" t="s">
        <v>32</v>
      </c>
      <c r="D33" s="227" t="s">
        <v>109</v>
      </c>
      <c r="E33" s="48">
        <f>E20</f>
        <v>138728.02827061253</v>
      </c>
      <c r="F33" s="48">
        <f t="shared" ref="F33:I33" si="3">F20</f>
        <v>141354.6209966875</v>
      </c>
      <c r="G33" s="48">
        <f t="shared" si="3"/>
        <v>143425.04907080001</v>
      </c>
      <c r="H33" s="48">
        <f t="shared" si="3"/>
        <v>145275.81547565002</v>
      </c>
      <c r="I33" s="48">
        <f t="shared" si="3"/>
        <v>146878.8782960125</v>
      </c>
      <c r="J33" s="229" t="s">
        <v>208</v>
      </c>
    </row>
    <row r="34" spans="3:10" ht="77.25" customHeight="1" thickBot="1" x14ac:dyDescent="0.3">
      <c r="C34" s="25" t="s">
        <v>33</v>
      </c>
      <c r="D34" s="228"/>
      <c r="E34" s="49">
        <f>E21</f>
        <v>107084.10784680249</v>
      </c>
      <c r="F34" s="49">
        <f t="shared" ref="F34:I34" si="4">F21</f>
        <v>109111.57368953752</v>
      </c>
      <c r="G34" s="49">
        <f t="shared" si="4"/>
        <v>110709.73626664</v>
      </c>
      <c r="H34" s="49">
        <f t="shared" si="4"/>
        <v>112138.34209177</v>
      </c>
      <c r="I34" s="49">
        <f t="shared" si="4"/>
        <v>113375.74562212251</v>
      </c>
      <c r="J34" s="230"/>
    </row>
    <row r="35" spans="3:10" ht="45.75" thickBot="1" x14ac:dyDescent="0.3">
      <c r="C35" s="66" t="s">
        <v>13</v>
      </c>
      <c r="D35" s="67"/>
      <c r="E35" s="68">
        <v>0</v>
      </c>
      <c r="F35" s="68">
        <v>10</v>
      </c>
      <c r="G35" s="68">
        <v>10</v>
      </c>
      <c r="H35" s="68">
        <v>10</v>
      </c>
      <c r="I35" s="68">
        <v>20</v>
      </c>
      <c r="J35" s="69" t="s">
        <v>86</v>
      </c>
    </row>
  </sheetData>
  <mergeCells count="26">
    <mergeCell ref="C7:C8"/>
    <mergeCell ref="D7:D8"/>
    <mergeCell ref="E7:I7"/>
    <mergeCell ref="J2:J6"/>
    <mergeCell ref="C3:I3"/>
    <mergeCell ref="C2:I2"/>
    <mergeCell ref="C4:I4"/>
    <mergeCell ref="C5:I5"/>
    <mergeCell ref="D6:I6"/>
    <mergeCell ref="J7:J12"/>
    <mergeCell ref="J14:J15"/>
    <mergeCell ref="D16:D17"/>
    <mergeCell ref="J16:J17"/>
    <mergeCell ref="J18:J19"/>
    <mergeCell ref="D20:D21"/>
    <mergeCell ref="J20:J21"/>
    <mergeCell ref="D22:D23"/>
    <mergeCell ref="J22:J23"/>
    <mergeCell ref="J24:J25"/>
    <mergeCell ref="D33:D34"/>
    <mergeCell ref="J33:J34"/>
    <mergeCell ref="D27:D28"/>
    <mergeCell ref="J27:J28"/>
    <mergeCell ref="D29:D30"/>
    <mergeCell ref="J29:J30"/>
    <mergeCell ref="D32:J32"/>
  </mergeCells>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C1:J35"/>
  <sheetViews>
    <sheetView topLeftCell="A23" workbookViewId="0">
      <selection activeCell="J35" sqref="J35"/>
    </sheetView>
  </sheetViews>
  <sheetFormatPr baseColWidth="10" defaultRowHeight="15" x14ac:dyDescent="0.25"/>
  <cols>
    <col min="3" max="3" width="40.85546875" customWidth="1"/>
    <col min="4" max="4" width="38.5703125" customWidth="1"/>
    <col min="5" max="5" width="11.85546875" bestFit="1" customWidth="1"/>
    <col min="10" max="10" width="51.42578125" customWidth="1"/>
  </cols>
  <sheetData>
    <row r="1" spans="3:10" ht="15.75" thickBot="1" x14ac:dyDescent="0.3"/>
    <row r="2" spans="3:10" ht="15.75" customHeight="1" thickBot="1" x14ac:dyDescent="0.3">
      <c r="C2" s="255" t="s">
        <v>6</v>
      </c>
      <c r="D2" s="256"/>
      <c r="E2" s="256"/>
      <c r="F2" s="256"/>
      <c r="G2" s="256"/>
      <c r="H2" s="256"/>
      <c r="I2" s="257"/>
      <c r="J2" s="258" t="s">
        <v>53</v>
      </c>
    </row>
    <row r="3" spans="3:10" ht="30.75" customHeight="1" thickBot="1" x14ac:dyDescent="0.3">
      <c r="C3" s="261" t="s">
        <v>5</v>
      </c>
      <c r="D3" s="262"/>
      <c r="E3" s="262"/>
      <c r="F3" s="262"/>
      <c r="G3" s="262"/>
      <c r="H3" s="262"/>
      <c r="I3" s="263"/>
      <c r="J3" s="259"/>
    </row>
    <row r="4" spans="3:10" ht="30.75" customHeight="1" thickBot="1" x14ac:dyDescent="0.3">
      <c r="C4" s="264" t="s">
        <v>7</v>
      </c>
      <c r="D4" s="265"/>
      <c r="E4" s="265"/>
      <c r="F4" s="265"/>
      <c r="G4" s="265"/>
      <c r="H4" s="265"/>
      <c r="I4" s="265"/>
      <c r="J4" s="259"/>
    </row>
    <row r="5" spans="3:10" ht="27.75" customHeight="1" thickBot="1" x14ac:dyDescent="0.3">
      <c r="C5" s="261" t="s">
        <v>0</v>
      </c>
      <c r="D5" s="262"/>
      <c r="E5" s="262"/>
      <c r="F5" s="262"/>
      <c r="G5" s="262"/>
      <c r="H5" s="262"/>
      <c r="I5" s="263"/>
      <c r="J5" s="259"/>
    </row>
    <row r="6" spans="3:10" ht="15.75" thickBot="1" x14ac:dyDescent="0.3">
      <c r="C6" s="105" t="s">
        <v>1</v>
      </c>
      <c r="D6" s="266" t="s">
        <v>81</v>
      </c>
      <c r="E6" s="267"/>
      <c r="F6" s="267"/>
      <c r="G6" s="267"/>
      <c r="H6" s="267"/>
      <c r="I6" s="268"/>
      <c r="J6" s="260"/>
    </row>
    <row r="7" spans="3:10" ht="15" customHeight="1" x14ac:dyDescent="0.25">
      <c r="C7" s="247" t="s">
        <v>162</v>
      </c>
      <c r="D7" s="249" t="s">
        <v>163</v>
      </c>
      <c r="E7" s="251" t="s">
        <v>4</v>
      </c>
      <c r="F7" s="252"/>
      <c r="G7" s="252"/>
      <c r="H7" s="252"/>
      <c r="I7" s="252"/>
      <c r="J7" s="253" t="s">
        <v>164</v>
      </c>
    </row>
    <row r="8" spans="3:10" x14ac:dyDescent="0.25">
      <c r="C8" s="248"/>
      <c r="D8" s="250"/>
      <c r="E8" s="33">
        <v>2021</v>
      </c>
      <c r="F8" s="33">
        <v>2022</v>
      </c>
      <c r="G8" s="33">
        <v>2023</v>
      </c>
      <c r="H8" s="33">
        <v>2024</v>
      </c>
      <c r="I8" s="72">
        <v>2025</v>
      </c>
      <c r="J8" s="254"/>
    </row>
    <row r="9" spans="3:10" x14ac:dyDescent="0.25">
      <c r="C9" s="88" t="s">
        <v>145</v>
      </c>
      <c r="D9" s="90" t="s">
        <v>146</v>
      </c>
      <c r="E9" s="35">
        <f>'[1]Baranoa-2904-4'!$F$12</f>
        <v>56232.5</v>
      </c>
      <c r="F9" s="35">
        <f>'[1]Baranoa-2904-4'!$F$13</f>
        <v>57136</v>
      </c>
      <c r="G9" s="35">
        <f>'[1]Baranoa-2904-4'!$F$14</f>
        <v>57845</v>
      </c>
      <c r="H9" s="35">
        <f>'[1]Baranoa-2904-4'!$F$15</f>
        <v>58524.5</v>
      </c>
      <c r="I9" s="73">
        <f>'[1]Baranoa-2904-4'!$F$16</f>
        <v>59168.5</v>
      </c>
      <c r="J9" s="254"/>
    </row>
    <row r="10" spans="3:10" x14ac:dyDescent="0.25">
      <c r="C10" s="88" t="s">
        <v>14</v>
      </c>
      <c r="D10" s="91" t="s">
        <v>147</v>
      </c>
      <c r="E10" s="37" t="s">
        <v>50</v>
      </c>
      <c r="F10" s="37" t="s">
        <v>50</v>
      </c>
      <c r="G10" s="37" t="s">
        <v>50</v>
      </c>
      <c r="H10" s="37" t="s">
        <v>50</v>
      </c>
      <c r="I10" s="74" t="s">
        <v>50</v>
      </c>
      <c r="J10" s="254"/>
    </row>
    <row r="11" spans="3:10" ht="30" x14ac:dyDescent="0.25">
      <c r="C11" s="87" t="s">
        <v>39</v>
      </c>
      <c r="D11" s="92" t="s">
        <v>148</v>
      </c>
      <c r="E11" s="59">
        <f>'[1]Baranoa-2904-4'!$D$31</f>
        <v>87.427219039351854</v>
      </c>
      <c r="F11" s="59">
        <f>'[1]Baranoa-2904-4'!$D$32</f>
        <v>88.83193148148149</v>
      </c>
      <c r="G11" s="59">
        <f>'[1]Baranoa-2904-4'!$D$33</f>
        <v>89.934245949074082</v>
      </c>
      <c r="H11" s="59">
        <f>'[1]Baranoa-2904-4'!$D$34</f>
        <v>90.990695428240755</v>
      </c>
      <c r="I11" s="75">
        <f>'[1]Baranoa-2904-4'!$D$35</f>
        <v>91.991951446759259</v>
      </c>
      <c r="J11" s="254"/>
    </row>
    <row r="12" spans="3:10" ht="30" x14ac:dyDescent="0.25">
      <c r="C12" s="88" t="s">
        <v>40</v>
      </c>
      <c r="D12" s="90" t="s">
        <v>148</v>
      </c>
      <c r="E12" s="60">
        <f>'[1]Baranoa-2904-4'!$E$31</f>
        <v>1.1908583788706741</v>
      </c>
      <c r="F12" s="60">
        <f>'[1]Baranoa-2904-4'!$E$32</f>
        <v>1.2265841302367944</v>
      </c>
      <c r="G12" s="60">
        <f>'[1]Baranoa-2904-4'!$E$33</f>
        <v>1.2633816541438982</v>
      </c>
      <c r="H12" s="60">
        <f>'[1]Baranoa-2904-4'!$E$34</f>
        <v>1.3012831037682153</v>
      </c>
      <c r="I12" s="76">
        <f>'[1]Baranoa-2904-4'!$E$35</f>
        <v>1.3403215968812618</v>
      </c>
      <c r="J12" s="240"/>
    </row>
    <row r="13" spans="3:10" x14ac:dyDescent="0.25">
      <c r="C13" s="87" t="s">
        <v>42</v>
      </c>
      <c r="D13" s="92" t="s">
        <v>149</v>
      </c>
      <c r="E13" s="59">
        <f>E11+E12</f>
        <v>88.618077418222526</v>
      </c>
      <c r="F13" s="59">
        <f t="shared" ref="F13:I13" si="0">F11+F12</f>
        <v>90.058515611718278</v>
      </c>
      <c r="G13" s="59">
        <f t="shared" si="0"/>
        <v>91.197627603217981</v>
      </c>
      <c r="H13" s="59">
        <f t="shared" si="0"/>
        <v>92.291978532008969</v>
      </c>
      <c r="I13" s="75">
        <f t="shared" si="0"/>
        <v>93.332273043640527</v>
      </c>
      <c r="J13" s="87" t="s">
        <v>56</v>
      </c>
    </row>
    <row r="14" spans="3:10" x14ac:dyDescent="0.25">
      <c r="C14" s="107" t="s">
        <v>17</v>
      </c>
      <c r="D14" s="93" t="s">
        <v>58</v>
      </c>
      <c r="E14" s="40">
        <v>250</v>
      </c>
      <c r="F14" s="40">
        <v>250</v>
      </c>
      <c r="G14" s="40">
        <v>250</v>
      </c>
      <c r="H14" s="40">
        <v>250</v>
      </c>
      <c r="I14" s="77">
        <v>250</v>
      </c>
      <c r="J14" s="239" t="s">
        <v>104</v>
      </c>
    </row>
    <row r="15" spans="3:10" ht="31.5" customHeight="1" x14ac:dyDescent="0.25">
      <c r="C15" s="88" t="s">
        <v>20</v>
      </c>
      <c r="D15" s="93" t="s">
        <v>58</v>
      </c>
      <c r="E15" s="40">
        <v>250</v>
      </c>
      <c r="F15" s="40">
        <v>250</v>
      </c>
      <c r="G15" s="40">
        <v>250</v>
      </c>
      <c r="H15" s="40">
        <v>250</v>
      </c>
      <c r="I15" s="77">
        <v>250</v>
      </c>
      <c r="J15" s="240"/>
    </row>
    <row r="16" spans="3:10" ht="32.25" customHeight="1" x14ac:dyDescent="0.25">
      <c r="C16" s="107" t="s">
        <v>62</v>
      </c>
      <c r="D16" s="241" t="s">
        <v>150</v>
      </c>
      <c r="E16" s="40">
        <v>90</v>
      </c>
      <c r="F16" s="40">
        <v>90</v>
      </c>
      <c r="G16" s="40">
        <v>90</v>
      </c>
      <c r="H16" s="40">
        <v>90</v>
      </c>
      <c r="I16" s="77">
        <v>90</v>
      </c>
      <c r="J16" s="239" t="s">
        <v>151</v>
      </c>
    </row>
    <row r="17" spans="3:10" x14ac:dyDescent="0.25">
      <c r="C17" s="88" t="s">
        <v>63</v>
      </c>
      <c r="D17" s="242"/>
      <c r="E17" s="40">
        <v>90</v>
      </c>
      <c r="F17" s="40">
        <v>90</v>
      </c>
      <c r="G17" s="40">
        <v>90</v>
      </c>
      <c r="H17" s="40">
        <v>90</v>
      </c>
      <c r="I17" s="77">
        <v>90</v>
      </c>
      <c r="J17" s="240"/>
    </row>
    <row r="18" spans="3:10" ht="30" x14ac:dyDescent="0.25">
      <c r="C18" s="106" t="s">
        <v>57</v>
      </c>
      <c r="D18" s="93" t="s">
        <v>59</v>
      </c>
      <c r="E18" s="53">
        <f>SABANGRANDE!E16</f>
        <v>190.64285714285714</v>
      </c>
      <c r="F18" s="53">
        <f>SABANGRANDE!F16</f>
        <v>190.64285714285714</v>
      </c>
      <c r="G18" s="53">
        <f>SABANGRANDE!G16</f>
        <v>190.64285714285714</v>
      </c>
      <c r="H18" s="53">
        <f>SABANGRANDE!H16</f>
        <v>190.64285714285714</v>
      </c>
      <c r="I18" s="53">
        <f>H18</f>
        <v>190.64285714285714</v>
      </c>
      <c r="J18" s="239" t="s">
        <v>80</v>
      </c>
    </row>
    <row r="19" spans="3:10" ht="30" x14ac:dyDescent="0.25">
      <c r="C19" s="107" t="s">
        <v>60</v>
      </c>
      <c r="D19" s="93" t="s">
        <v>59</v>
      </c>
      <c r="E19" s="53">
        <f>SABANGRANDE!E17</f>
        <v>147.15714285714284</v>
      </c>
      <c r="F19" s="53">
        <f>SABANGRANDE!F17</f>
        <v>147.15714285714284</v>
      </c>
      <c r="G19" s="53">
        <f>SABANGRANDE!G17</f>
        <v>147.15714285714284</v>
      </c>
      <c r="H19" s="53">
        <f>SABANGRANDE!H17</f>
        <v>147.15714285714284</v>
      </c>
      <c r="I19" s="78">
        <f>H19</f>
        <v>147.15714285714284</v>
      </c>
      <c r="J19" s="240"/>
    </row>
    <row r="20" spans="3:10" x14ac:dyDescent="0.25">
      <c r="C20" s="97" t="s">
        <v>67</v>
      </c>
      <c r="D20" s="243" t="s">
        <v>209</v>
      </c>
      <c r="E20" s="108">
        <f>E13*E18*0.0864*365*(1-E27/100)</f>
        <v>154506.75330283996</v>
      </c>
      <c r="F20" s="108">
        <f>F13*F18*0.0864*365*(1-F27/100)</f>
        <v>157018.17574727084</v>
      </c>
      <c r="G20" s="108">
        <f>G13*G18*0.0864*365*(1-G27/100)</f>
        <v>159004.23209810251</v>
      </c>
      <c r="H20" s="108">
        <f>H13*H18*0.0864*365*(1-H27/100)</f>
        <v>160912.24696264835</v>
      </c>
      <c r="I20" s="109">
        <f>I13*I18*0.0864*365*(1-I27/100)</f>
        <v>162726.01377133679</v>
      </c>
      <c r="J20" s="245" t="s">
        <v>210</v>
      </c>
    </row>
    <row r="21" spans="3:10" ht="83.25" customHeight="1" x14ac:dyDescent="0.25">
      <c r="C21" s="97" t="s">
        <v>68</v>
      </c>
      <c r="D21" s="244"/>
      <c r="E21" s="56">
        <f>E13*E19*0.0864*365*(1-E28/100)</f>
        <v>111038.61649296252</v>
      </c>
      <c r="F21" s="56">
        <f>F13*F19*0.0864*365*(1-F28/100)</f>
        <v>112843.48823932817</v>
      </c>
      <c r="G21" s="56">
        <f>G13*G19*0.0864*365*(1-G28/100)</f>
        <v>114270.79769188756</v>
      </c>
      <c r="H21" s="56">
        <f>H13*H19*0.0864*365*(1-H28/100)</f>
        <v>115642.02144928486</v>
      </c>
      <c r="I21" s="80">
        <f>I13*I19*0.0864*365*(1-I28/100)</f>
        <v>116945.51241503491</v>
      </c>
      <c r="J21" s="246"/>
    </row>
    <row r="22" spans="3:10" x14ac:dyDescent="0.25">
      <c r="C22" s="98" t="s">
        <v>67</v>
      </c>
      <c r="D22" s="231" t="s">
        <v>83</v>
      </c>
      <c r="E22" s="63">
        <f>E13*E16*0.0864*365</f>
        <v>251519.37205149591</v>
      </c>
      <c r="F22" s="63">
        <f t="shared" ref="F22:I22" si="1">F13*F16*0.0864*365</f>
        <v>255607.68134980326</v>
      </c>
      <c r="G22" s="63">
        <f t="shared" si="1"/>
        <v>258840.7545685574</v>
      </c>
      <c r="H22" s="63">
        <f t="shared" si="1"/>
        <v>261946.78514868914</v>
      </c>
      <c r="I22" s="63">
        <f t="shared" si="1"/>
        <v>264899.39064338233</v>
      </c>
      <c r="J22" s="233" t="s">
        <v>204</v>
      </c>
    </row>
    <row r="23" spans="3:10" ht="44.25" customHeight="1" x14ac:dyDescent="0.25">
      <c r="C23" s="98" t="s">
        <v>68</v>
      </c>
      <c r="D23" s="232"/>
      <c r="E23" s="64">
        <f>E13*E17*0.0864*365</f>
        <v>251519.37205149591</v>
      </c>
      <c r="F23" s="64">
        <f t="shared" ref="F23:I23" si="2">F13*F17*0.0864*365</f>
        <v>255607.68134980326</v>
      </c>
      <c r="G23" s="64">
        <f t="shared" si="2"/>
        <v>258840.7545685574</v>
      </c>
      <c r="H23" s="64">
        <f t="shared" si="2"/>
        <v>261946.78514868914</v>
      </c>
      <c r="I23" s="64">
        <f t="shared" si="2"/>
        <v>264899.39064338233</v>
      </c>
      <c r="J23" s="234"/>
    </row>
    <row r="24" spans="3:10" ht="30" x14ac:dyDescent="0.25">
      <c r="C24" s="99" t="s">
        <v>15</v>
      </c>
      <c r="D24" s="94"/>
      <c r="E24" s="42" t="s">
        <v>50</v>
      </c>
      <c r="F24" s="42" t="s">
        <v>50</v>
      </c>
      <c r="G24" s="42" t="s">
        <v>50</v>
      </c>
      <c r="H24" s="42" t="s">
        <v>50</v>
      </c>
      <c r="I24" s="82" t="s">
        <v>50</v>
      </c>
      <c r="J24" s="235" t="s">
        <v>65</v>
      </c>
    </row>
    <row r="25" spans="3:10" ht="30" x14ac:dyDescent="0.25">
      <c r="C25" s="100" t="s">
        <v>16</v>
      </c>
      <c r="D25" s="95"/>
      <c r="E25" s="43" t="s">
        <v>50</v>
      </c>
      <c r="F25" s="43" t="s">
        <v>50</v>
      </c>
      <c r="G25" s="43" t="s">
        <v>50</v>
      </c>
      <c r="H25" s="43" t="s">
        <v>50</v>
      </c>
      <c r="I25" s="83" t="s">
        <v>50</v>
      </c>
      <c r="J25" s="236"/>
    </row>
    <row r="26" spans="3:10" ht="45" x14ac:dyDescent="0.25">
      <c r="C26" s="107" t="s">
        <v>2</v>
      </c>
      <c r="D26" s="96"/>
      <c r="E26" s="57">
        <f>'[2]% porcentaje de remocion '!$E$8</f>
        <v>0.49</v>
      </c>
      <c r="F26" s="57">
        <f>'[2]% porcentaje de remocion '!$E$9</f>
        <v>0.54</v>
      </c>
      <c r="G26" s="57">
        <f>'[2]% porcentaje de remocion '!$E$10</f>
        <v>0.6</v>
      </c>
      <c r="H26" s="57">
        <f>'[2]% porcentaje de remocion '!$E$11</f>
        <v>0.65</v>
      </c>
      <c r="I26" s="84">
        <f>'[2]% porcentaje de remocion '!$E$12</f>
        <v>0.7</v>
      </c>
      <c r="J26" s="88" t="s">
        <v>154</v>
      </c>
    </row>
    <row r="27" spans="3:10" x14ac:dyDescent="0.25">
      <c r="C27" s="88" t="s">
        <v>43</v>
      </c>
      <c r="D27" s="237" t="s">
        <v>52</v>
      </c>
      <c r="E27" s="40">
        <v>71</v>
      </c>
      <c r="F27" s="40">
        <v>71</v>
      </c>
      <c r="G27" s="40">
        <v>71</v>
      </c>
      <c r="H27" s="40">
        <v>71</v>
      </c>
      <c r="I27" s="40">
        <v>71</v>
      </c>
      <c r="J27" s="239" t="s">
        <v>82</v>
      </c>
    </row>
    <row r="28" spans="3:10" x14ac:dyDescent="0.25">
      <c r="C28" s="101" t="s">
        <v>44</v>
      </c>
      <c r="D28" s="238"/>
      <c r="E28" s="40">
        <v>73</v>
      </c>
      <c r="F28" s="40">
        <v>73</v>
      </c>
      <c r="G28" s="40">
        <v>73</v>
      </c>
      <c r="H28" s="40">
        <v>73</v>
      </c>
      <c r="I28" s="40">
        <v>73</v>
      </c>
      <c r="J28" s="240"/>
    </row>
    <row r="29" spans="3:10" ht="30" x14ac:dyDescent="0.25">
      <c r="C29" s="102" t="s">
        <v>155</v>
      </c>
      <c r="D29" s="220" t="s">
        <v>77</v>
      </c>
      <c r="E29" s="46">
        <f>'[1]Baranoa-2904-4'!$E$41</f>
        <v>251519.37205149585</v>
      </c>
      <c r="F29" s="46">
        <f>'[1]Baranoa-2904-4'!$E$42</f>
        <v>255607.68134980326</v>
      </c>
      <c r="G29" s="46">
        <f>'[1]Baranoa-2904-4'!$E$43</f>
        <v>258840.7545685574</v>
      </c>
      <c r="H29" s="46">
        <f>'[1]Baranoa-2904-4'!$E$44</f>
        <v>261946.78514868914</v>
      </c>
      <c r="I29" s="85">
        <f>'[1]Baranoa-2904-4'!$E$45</f>
        <v>264899.39064338233</v>
      </c>
      <c r="J29" s="222" t="s">
        <v>78</v>
      </c>
    </row>
    <row r="30" spans="3:10" ht="30" x14ac:dyDescent="0.25">
      <c r="C30" s="103" t="s">
        <v>157</v>
      </c>
      <c r="D30" s="221"/>
      <c r="E30" s="46">
        <f>'[1]Baranoa-2904-4'!$F$41</f>
        <v>251519.37205149585</v>
      </c>
      <c r="F30" s="46">
        <f>'[1]Baranoa-2904-4'!$F$42</f>
        <v>255607.68134980326</v>
      </c>
      <c r="G30" s="46">
        <f>'[1]Baranoa-2904-4'!$F$43</f>
        <v>258840.7545685574</v>
      </c>
      <c r="H30" s="46">
        <f>'[1]Baranoa-2904-4'!$F$44</f>
        <v>261946.78514868914</v>
      </c>
      <c r="I30" s="85">
        <f>'[1]Baranoa-2904-4'!$F$45</f>
        <v>264899.39064338233</v>
      </c>
      <c r="J30" s="223"/>
    </row>
    <row r="31" spans="3:10" ht="45.75" thickBot="1" x14ac:dyDescent="0.3">
      <c r="C31" s="104" t="s">
        <v>158</v>
      </c>
      <c r="D31" s="65" t="s">
        <v>66</v>
      </c>
      <c r="E31" s="71"/>
      <c r="F31" s="71"/>
      <c r="G31" s="71"/>
      <c r="H31" s="71"/>
      <c r="I31" s="86"/>
      <c r="J31" s="89" t="s">
        <v>159</v>
      </c>
    </row>
    <row r="32" spans="3:10" ht="31.5" customHeight="1" thickBot="1" x14ac:dyDescent="0.3">
      <c r="C32" s="70" t="s">
        <v>160</v>
      </c>
      <c r="D32" s="224" t="s">
        <v>211</v>
      </c>
      <c r="E32" s="225"/>
      <c r="F32" s="225"/>
      <c r="G32" s="225"/>
      <c r="H32" s="225"/>
      <c r="I32" s="225"/>
      <c r="J32" s="226"/>
    </row>
    <row r="33" spans="3:10" ht="30.75" thickBot="1" x14ac:dyDescent="0.3">
      <c r="C33" s="22" t="s">
        <v>32</v>
      </c>
      <c r="D33" s="227" t="s">
        <v>109</v>
      </c>
      <c r="E33" s="48">
        <f>E22</f>
        <v>251519.37205149591</v>
      </c>
      <c r="F33" s="48">
        <f t="shared" ref="F33:I34" si="3">F22</f>
        <v>255607.68134980326</v>
      </c>
      <c r="G33" s="48">
        <f t="shared" si="3"/>
        <v>258840.7545685574</v>
      </c>
      <c r="H33" s="48">
        <f t="shared" si="3"/>
        <v>261946.78514868914</v>
      </c>
      <c r="I33" s="48">
        <f t="shared" si="3"/>
        <v>264899.39064338233</v>
      </c>
      <c r="J33" s="229" t="s">
        <v>212</v>
      </c>
    </row>
    <row r="34" spans="3:10" ht="90" customHeight="1" thickBot="1" x14ac:dyDescent="0.3">
      <c r="C34" s="25" t="s">
        <v>33</v>
      </c>
      <c r="D34" s="228"/>
      <c r="E34" s="49">
        <f>E23</f>
        <v>251519.37205149591</v>
      </c>
      <c r="F34" s="49">
        <f t="shared" si="3"/>
        <v>255607.68134980326</v>
      </c>
      <c r="G34" s="49">
        <f t="shared" si="3"/>
        <v>258840.7545685574</v>
      </c>
      <c r="H34" s="49">
        <f t="shared" si="3"/>
        <v>261946.78514868914</v>
      </c>
      <c r="I34" s="49">
        <f t="shared" si="3"/>
        <v>264899.39064338233</v>
      </c>
      <c r="J34" s="230"/>
    </row>
    <row r="35" spans="3:10" ht="30.75" thickBot="1" x14ac:dyDescent="0.3">
      <c r="C35" s="66" t="s">
        <v>13</v>
      </c>
      <c r="D35" s="67"/>
      <c r="E35" s="68">
        <v>100</v>
      </c>
      <c r="F35" s="68">
        <v>0</v>
      </c>
      <c r="G35" s="68">
        <v>0</v>
      </c>
      <c r="H35" s="68">
        <v>0</v>
      </c>
      <c r="I35" s="68">
        <v>0</v>
      </c>
      <c r="J35" s="69" t="s">
        <v>93</v>
      </c>
    </row>
  </sheetData>
  <mergeCells count="26">
    <mergeCell ref="C7:C8"/>
    <mergeCell ref="D7:D8"/>
    <mergeCell ref="E7:I7"/>
    <mergeCell ref="J2:J6"/>
    <mergeCell ref="C3:I3"/>
    <mergeCell ref="C4:I4"/>
    <mergeCell ref="C5:I5"/>
    <mergeCell ref="D6:I6"/>
    <mergeCell ref="C2:I2"/>
    <mergeCell ref="J7:J12"/>
    <mergeCell ref="J14:J15"/>
    <mergeCell ref="D16:D17"/>
    <mergeCell ref="J16:J17"/>
    <mergeCell ref="J18:J19"/>
    <mergeCell ref="D20:D21"/>
    <mergeCell ref="J20:J21"/>
    <mergeCell ref="D22:D23"/>
    <mergeCell ref="J22:J23"/>
    <mergeCell ref="J24:J25"/>
    <mergeCell ref="D33:D34"/>
    <mergeCell ref="J33:J34"/>
    <mergeCell ref="D27:D28"/>
    <mergeCell ref="J27:J28"/>
    <mergeCell ref="D29:D30"/>
    <mergeCell ref="J29:J30"/>
    <mergeCell ref="D32:J32"/>
  </mergeCells>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FF"/>
  </sheetPr>
  <dimension ref="B1:E44"/>
  <sheetViews>
    <sheetView topLeftCell="A31" workbookViewId="0">
      <selection activeCell="E41" sqref="E41:E44"/>
    </sheetView>
  </sheetViews>
  <sheetFormatPr baseColWidth="10" defaultRowHeight="15" x14ac:dyDescent="0.25"/>
  <cols>
    <col min="2" max="2" width="34.28515625" customWidth="1"/>
    <col min="3" max="3" width="10.28515625" customWidth="1"/>
    <col min="4" max="4" width="45.28515625" customWidth="1"/>
    <col min="5" max="5" width="52.42578125" customWidth="1"/>
  </cols>
  <sheetData>
    <row r="1" spans="2:5" ht="15.75" thickBot="1" x14ac:dyDescent="0.3">
      <c r="B1" s="270" t="s">
        <v>137</v>
      </c>
      <c r="C1" s="271"/>
      <c r="D1" s="271"/>
      <c r="E1" s="272"/>
    </row>
    <row r="2" spans="2:5" ht="15.75" thickBot="1" x14ac:dyDescent="0.3">
      <c r="B2" s="270" t="s">
        <v>140</v>
      </c>
      <c r="C2" s="271"/>
      <c r="D2" s="271"/>
      <c r="E2" s="272"/>
    </row>
    <row r="3" spans="2:5" ht="73.5" customHeight="1" thickBot="1" x14ac:dyDescent="0.3">
      <c r="B3" s="204" t="s">
        <v>138</v>
      </c>
      <c r="C3" s="273" t="s">
        <v>213</v>
      </c>
      <c r="D3" s="274"/>
      <c r="E3" s="275"/>
    </row>
    <row r="4" spans="2:5" ht="15.75" thickBot="1" x14ac:dyDescent="0.3">
      <c r="B4" s="206" t="s">
        <v>139</v>
      </c>
      <c r="C4" s="205" t="s">
        <v>115</v>
      </c>
      <c r="D4" s="205" t="s">
        <v>113</v>
      </c>
      <c r="E4" s="205" t="s">
        <v>114</v>
      </c>
    </row>
    <row r="5" spans="2:5" ht="8.25" customHeight="1" x14ac:dyDescent="0.25">
      <c r="B5" s="303" t="s">
        <v>116</v>
      </c>
      <c r="C5" s="284">
        <v>1</v>
      </c>
      <c r="D5" s="253" t="s">
        <v>141</v>
      </c>
      <c r="E5" s="253" t="s">
        <v>214</v>
      </c>
    </row>
    <row r="6" spans="2:5" ht="7.5" customHeight="1" x14ac:dyDescent="0.25">
      <c r="B6" s="304"/>
      <c r="C6" s="285"/>
      <c r="D6" s="254"/>
      <c r="E6" s="254"/>
    </row>
    <row r="7" spans="2:5" x14ac:dyDescent="0.25">
      <c r="B7" s="305" t="s">
        <v>117</v>
      </c>
      <c r="C7" s="285"/>
      <c r="D7" s="254"/>
      <c r="E7" s="254"/>
    </row>
    <row r="8" spans="2:5" x14ac:dyDescent="0.25">
      <c r="B8" s="304"/>
      <c r="C8" s="285"/>
      <c r="D8" s="254"/>
      <c r="E8" s="254"/>
    </row>
    <row r="9" spans="2:5" x14ac:dyDescent="0.25">
      <c r="B9" s="305" t="s">
        <v>118</v>
      </c>
      <c r="C9" s="285"/>
      <c r="D9" s="254"/>
      <c r="E9" s="254"/>
    </row>
    <row r="10" spans="2:5" x14ac:dyDescent="0.25">
      <c r="B10" s="304"/>
      <c r="C10" s="285"/>
      <c r="D10" s="254"/>
      <c r="E10" s="254"/>
    </row>
    <row r="11" spans="2:5" x14ac:dyDescent="0.25">
      <c r="B11" s="306" t="s">
        <v>119</v>
      </c>
      <c r="C11" s="285"/>
      <c r="D11" s="254"/>
      <c r="E11" s="254"/>
    </row>
    <row r="12" spans="2:5" x14ac:dyDescent="0.25">
      <c r="B12" s="306"/>
      <c r="C12" s="285"/>
      <c r="D12" s="254"/>
      <c r="E12" s="254"/>
    </row>
    <row r="13" spans="2:5" x14ac:dyDescent="0.25">
      <c r="B13" s="306" t="s">
        <v>120</v>
      </c>
      <c r="C13" s="285"/>
      <c r="D13" s="254"/>
      <c r="E13" s="254"/>
    </row>
    <row r="14" spans="2:5" x14ac:dyDescent="0.25">
      <c r="B14" s="306"/>
      <c r="C14" s="285"/>
      <c r="D14" s="254"/>
      <c r="E14" s="254"/>
    </row>
    <row r="15" spans="2:5" x14ac:dyDescent="0.25">
      <c r="B15" s="307" t="s">
        <v>121</v>
      </c>
      <c r="C15" s="285"/>
      <c r="D15" s="254"/>
      <c r="E15" s="254"/>
    </row>
    <row r="16" spans="2:5" ht="114.75" customHeight="1" x14ac:dyDescent="0.25">
      <c r="B16" s="307"/>
      <c r="C16" s="285"/>
      <c r="D16" s="240"/>
      <c r="E16" s="240"/>
    </row>
    <row r="17" spans="2:5" x14ac:dyDescent="0.25">
      <c r="B17" s="297" t="s">
        <v>122</v>
      </c>
      <c r="C17" s="285"/>
      <c r="D17" s="276" t="s">
        <v>215</v>
      </c>
      <c r="E17" s="276" t="s">
        <v>142</v>
      </c>
    </row>
    <row r="18" spans="2:5" ht="69" customHeight="1" x14ac:dyDescent="0.25">
      <c r="B18" s="297"/>
      <c r="C18" s="285"/>
      <c r="D18" s="277"/>
      <c r="E18" s="277"/>
    </row>
    <row r="19" spans="2:5" x14ac:dyDescent="0.25">
      <c r="B19" s="298" t="s">
        <v>123</v>
      </c>
      <c r="C19" s="285"/>
      <c r="D19" s="276" t="s">
        <v>216</v>
      </c>
      <c r="E19" s="276" t="s">
        <v>143</v>
      </c>
    </row>
    <row r="20" spans="2:5" ht="63.75" customHeight="1" x14ac:dyDescent="0.25">
      <c r="B20" s="299"/>
      <c r="C20" s="285"/>
      <c r="D20" s="277"/>
      <c r="E20" s="277"/>
    </row>
    <row r="21" spans="2:5" x14ac:dyDescent="0.25">
      <c r="B21" s="298" t="s">
        <v>124</v>
      </c>
      <c r="C21" s="285"/>
      <c r="D21" s="276" t="s">
        <v>217</v>
      </c>
      <c r="E21" s="276" t="s">
        <v>218</v>
      </c>
    </row>
    <row r="22" spans="2:5" ht="168" customHeight="1" thickBot="1" x14ac:dyDescent="0.3">
      <c r="B22" s="300"/>
      <c r="C22" s="286"/>
      <c r="D22" s="277"/>
      <c r="E22" s="277"/>
    </row>
    <row r="23" spans="2:5" x14ac:dyDescent="0.25">
      <c r="B23" s="292" t="s">
        <v>125</v>
      </c>
      <c r="C23" s="287">
        <v>2</v>
      </c>
      <c r="D23" s="253" t="s">
        <v>136</v>
      </c>
      <c r="E23" s="253" t="s">
        <v>219</v>
      </c>
    </row>
    <row r="24" spans="2:5" ht="48.75" customHeight="1" thickBot="1" x14ac:dyDescent="0.3">
      <c r="B24" s="301"/>
      <c r="C24" s="288"/>
      <c r="D24" s="269"/>
      <c r="E24" s="254"/>
    </row>
    <row r="25" spans="2:5" ht="15" customHeight="1" x14ac:dyDescent="0.25">
      <c r="B25" s="302" t="s">
        <v>126</v>
      </c>
      <c r="C25" s="287">
        <v>3</v>
      </c>
      <c r="D25" s="253" t="s">
        <v>136</v>
      </c>
      <c r="E25" s="253" t="s">
        <v>220</v>
      </c>
    </row>
    <row r="26" spans="2:5" ht="63" customHeight="1" x14ac:dyDescent="0.25">
      <c r="B26" s="295"/>
      <c r="C26" s="289"/>
      <c r="D26" s="240"/>
      <c r="E26" s="240"/>
    </row>
    <row r="27" spans="2:5" ht="15" customHeight="1" x14ac:dyDescent="0.25">
      <c r="B27" s="290" t="s">
        <v>127</v>
      </c>
      <c r="C27" s="289"/>
      <c r="D27" s="276" t="s">
        <v>221</v>
      </c>
      <c r="E27" s="278" t="s">
        <v>222</v>
      </c>
    </row>
    <row r="28" spans="2:5" ht="223.5" customHeight="1" x14ac:dyDescent="0.25">
      <c r="B28" s="290"/>
      <c r="C28" s="289"/>
      <c r="D28" s="277"/>
      <c r="E28" s="279"/>
    </row>
    <row r="29" spans="2:5" ht="15" customHeight="1" x14ac:dyDescent="0.25">
      <c r="B29" s="290" t="s">
        <v>128</v>
      </c>
      <c r="C29" s="289"/>
      <c r="D29" s="276" t="s">
        <v>223</v>
      </c>
      <c r="E29" s="276" t="s">
        <v>144</v>
      </c>
    </row>
    <row r="30" spans="2:5" ht="177" customHeight="1" thickBot="1" x14ac:dyDescent="0.3">
      <c r="B30" s="291"/>
      <c r="C30" s="288"/>
      <c r="D30" s="277"/>
      <c r="E30" s="277"/>
    </row>
    <row r="31" spans="2:5" x14ac:dyDescent="0.25">
      <c r="B31" s="292" t="s">
        <v>129</v>
      </c>
      <c r="C31" s="287">
        <v>4</v>
      </c>
      <c r="D31" s="253" t="s">
        <v>136</v>
      </c>
      <c r="E31" s="253" t="s">
        <v>219</v>
      </c>
    </row>
    <row r="32" spans="2:5" x14ac:dyDescent="0.25">
      <c r="B32" s="293"/>
      <c r="C32" s="289"/>
      <c r="D32" s="254"/>
      <c r="E32" s="254"/>
    </row>
    <row r="33" spans="2:5" x14ac:dyDescent="0.25">
      <c r="B33" s="293" t="s">
        <v>130</v>
      </c>
      <c r="C33" s="289"/>
      <c r="D33" s="254"/>
      <c r="E33" s="254"/>
    </row>
    <row r="34" spans="2:5" x14ac:dyDescent="0.25">
      <c r="B34" s="293"/>
      <c r="C34" s="289"/>
      <c r="D34" s="254"/>
      <c r="E34" s="254"/>
    </row>
    <row r="35" spans="2:5" x14ac:dyDescent="0.25">
      <c r="B35" s="294" t="s">
        <v>131</v>
      </c>
      <c r="C35" s="289"/>
      <c r="D35" s="254"/>
      <c r="E35" s="254"/>
    </row>
    <row r="36" spans="2:5" x14ac:dyDescent="0.25">
      <c r="B36" s="294"/>
      <c r="C36" s="289"/>
      <c r="D36" s="254"/>
      <c r="E36" s="254"/>
    </row>
    <row r="37" spans="2:5" x14ac:dyDescent="0.25">
      <c r="B37" s="295" t="s">
        <v>132</v>
      </c>
      <c r="C37" s="289"/>
      <c r="D37" s="254"/>
      <c r="E37" s="254"/>
    </row>
    <row r="38" spans="2:5" x14ac:dyDescent="0.25">
      <c r="B38" s="295"/>
      <c r="C38" s="289"/>
      <c r="D38" s="254"/>
      <c r="E38" s="254"/>
    </row>
    <row r="39" spans="2:5" x14ac:dyDescent="0.25">
      <c r="B39" s="295" t="s">
        <v>133</v>
      </c>
      <c r="C39" s="289"/>
      <c r="D39" s="254"/>
      <c r="E39" s="254"/>
    </row>
    <row r="40" spans="2:5" ht="15.75" thickBot="1" x14ac:dyDescent="0.3">
      <c r="B40" s="296"/>
      <c r="C40" s="288"/>
      <c r="D40" s="269"/>
      <c r="E40" s="269"/>
    </row>
    <row r="41" spans="2:5" x14ac:dyDescent="0.25">
      <c r="B41" s="280" t="s">
        <v>134</v>
      </c>
      <c r="C41" s="287">
        <v>5</v>
      </c>
      <c r="D41" s="253" t="s">
        <v>136</v>
      </c>
      <c r="E41" s="253" t="s">
        <v>219</v>
      </c>
    </row>
    <row r="42" spans="2:5" x14ac:dyDescent="0.25">
      <c r="B42" s="281"/>
      <c r="C42" s="289"/>
      <c r="D42" s="254"/>
      <c r="E42" s="254"/>
    </row>
    <row r="43" spans="2:5" x14ac:dyDescent="0.25">
      <c r="B43" s="282" t="s">
        <v>135</v>
      </c>
      <c r="C43" s="289"/>
      <c r="D43" s="254"/>
      <c r="E43" s="254"/>
    </row>
    <row r="44" spans="2:5" ht="36" customHeight="1" thickBot="1" x14ac:dyDescent="0.3">
      <c r="B44" s="283"/>
      <c r="C44" s="288"/>
      <c r="D44" s="269"/>
      <c r="E44" s="269"/>
    </row>
  </sheetData>
  <mergeCells count="48">
    <mergeCell ref="B23:B24"/>
    <mergeCell ref="B25:B26"/>
    <mergeCell ref="B27:B28"/>
    <mergeCell ref="B5:B6"/>
    <mergeCell ref="B7:B8"/>
    <mergeCell ref="B9:B10"/>
    <mergeCell ref="B11:B12"/>
    <mergeCell ref="B13:B14"/>
    <mergeCell ref="B15:B16"/>
    <mergeCell ref="B41:B42"/>
    <mergeCell ref="B43:B44"/>
    <mergeCell ref="C5:C22"/>
    <mergeCell ref="C23:C24"/>
    <mergeCell ref="C25:C30"/>
    <mergeCell ref="C31:C40"/>
    <mergeCell ref="C41:C44"/>
    <mergeCell ref="B29:B30"/>
    <mergeCell ref="B31:B32"/>
    <mergeCell ref="B33:B34"/>
    <mergeCell ref="B35:B36"/>
    <mergeCell ref="B37:B38"/>
    <mergeCell ref="B39:B40"/>
    <mergeCell ref="B17:B18"/>
    <mergeCell ref="B19:B20"/>
    <mergeCell ref="B21:B22"/>
    <mergeCell ref="E25:E26"/>
    <mergeCell ref="D17:D18"/>
    <mergeCell ref="E17:E18"/>
    <mergeCell ref="D19:D20"/>
    <mergeCell ref="E19:E20"/>
    <mergeCell ref="D21:D22"/>
    <mergeCell ref="E21:E22"/>
    <mergeCell ref="D31:D40"/>
    <mergeCell ref="E31:E40"/>
    <mergeCell ref="D41:D44"/>
    <mergeCell ref="E41:E44"/>
    <mergeCell ref="B1:E1"/>
    <mergeCell ref="B2:E2"/>
    <mergeCell ref="C3:E3"/>
    <mergeCell ref="D27:D28"/>
    <mergeCell ref="E27:E28"/>
    <mergeCell ref="D29:D30"/>
    <mergeCell ref="E29:E30"/>
    <mergeCell ref="D5:D16"/>
    <mergeCell ref="E5:E16"/>
    <mergeCell ref="D23:D24"/>
    <mergeCell ref="E23:E24"/>
    <mergeCell ref="D25:D2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B1:I35"/>
  <sheetViews>
    <sheetView topLeftCell="A22" workbookViewId="0">
      <selection activeCell="I35" sqref="I35"/>
    </sheetView>
  </sheetViews>
  <sheetFormatPr baseColWidth="10" defaultRowHeight="15" x14ac:dyDescent="0.25"/>
  <cols>
    <col min="2" max="2" width="43.7109375" customWidth="1"/>
    <col min="3" max="3" width="38.5703125" customWidth="1"/>
    <col min="4" max="4" width="11.85546875" bestFit="1" customWidth="1"/>
    <col min="9" max="9" width="51.42578125" customWidth="1"/>
  </cols>
  <sheetData>
    <row r="1" spans="2:9" ht="15.75" thickBot="1" x14ac:dyDescent="0.3"/>
    <row r="2" spans="2:9" ht="15.75" thickBot="1" x14ac:dyDescent="0.3">
      <c r="B2" s="255" t="s">
        <v>6</v>
      </c>
      <c r="C2" s="256"/>
      <c r="D2" s="256"/>
      <c r="E2" s="256"/>
      <c r="F2" s="256"/>
      <c r="G2" s="256"/>
      <c r="H2" s="257"/>
      <c r="I2" s="258" t="s">
        <v>53</v>
      </c>
    </row>
    <row r="3" spans="2:9" ht="30.75" customHeight="1" thickBot="1" x14ac:dyDescent="0.3">
      <c r="B3" s="261" t="s">
        <v>5</v>
      </c>
      <c r="C3" s="262"/>
      <c r="D3" s="262"/>
      <c r="E3" s="262"/>
      <c r="F3" s="262"/>
      <c r="G3" s="262"/>
      <c r="H3" s="263"/>
      <c r="I3" s="259"/>
    </row>
    <row r="4" spans="2:9" ht="30.75" customHeight="1" thickBot="1" x14ac:dyDescent="0.3">
      <c r="B4" s="264" t="s">
        <v>7</v>
      </c>
      <c r="C4" s="265"/>
      <c r="D4" s="265"/>
      <c r="E4" s="265"/>
      <c r="F4" s="265"/>
      <c r="G4" s="265"/>
      <c r="H4" s="265"/>
      <c r="I4" s="259"/>
    </row>
    <row r="5" spans="2:9" ht="27.75" customHeight="1" thickBot="1" x14ac:dyDescent="0.3">
      <c r="B5" s="261" t="s">
        <v>0</v>
      </c>
      <c r="C5" s="262"/>
      <c r="D5" s="262"/>
      <c r="E5" s="262"/>
      <c r="F5" s="262"/>
      <c r="G5" s="262"/>
      <c r="H5" s="263"/>
      <c r="I5" s="259"/>
    </row>
    <row r="6" spans="2:9" ht="15.75" thickBot="1" x14ac:dyDescent="0.3">
      <c r="B6" s="31" t="s">
        <v>1</v>
      </c>
      <c r="C6" s="309" t="s">
        <v>79</v>
      </c>
      <c r="D6" s="310"/>
      <c r="E6" s="310"/>
      <c r="F6" s="310"/>
      <c r="G6" s="310"/>
      <c r="H6" s="311"/>
      <c r="I6" s="260"/>
    </row>
    <row r="7" spans="2:9" x14ac:dyDescent="0.25">
      <c r="B7" s="247" t="s">
        <v>162</v>
      </c>
      <c r="C7" s="249" t="s">
        <v>163</v>
      </c>
      <c r="D7" s="251" t="s">
        <v>4</v>
      </c>
      <c r="E7" s="252"/>
      <c r="F7" s="252"/>
      <c r="G7" s="252"/>
      <c r="H7" s="252"/>
      <c r="I7" s="253" t="s">
        <v>164</v>
      </c>
    </row>
    <row r="8" spans="2:9" x14ac:dyDescent="0.25">
      <c r="B8" s="248"/>
      <c r="C8" s="250"/>
      <c r="D8" s="33">
        <v>2021</v>
      </c>
      <c r="E8" s="33">
        <v>2022</v>
      </c>
      <c r="F8" s="33">
        <v>2023</v>
      </c>
      <c r="G8" s="33">
        <v>2024</v>
      </c>
      <c r="H8" s="72">
        <v>2025</v>
      </c>
      <c r="I8" s="254"/>
    </row>
    <row r="9" spans="2:9" x14ac:dyDescent="0.25">
      <c r="B9" s="88" t="s">
        <v>145</v>
      </c>
      <c r="C9" s="90" t="s">
        <v>146</v>
      </c>
      <c r="D9" s="35">
        <f>'[1]Palmar Varela 2904-4'!$F$12</f>
        <v>30056</v>
      </c>
      <c r="E9" s="35">
        <f>'[1]Palmar Varela 2904-4'!$F$13</f>
        <v>30509.5</v>
      </c>
      <c r="F9" s="35">
        <f>'[1]Palmar Varela 2904-4'!$F$14</f>
        <v>30867</v>
      </c>
      <c r="G9" s="35">
        <f>'[1]Palmar Varela 2904-4'!$F$15</f>
        <v>31196.5</v>
      </c>
      <c r="H9" s="73">
        <f>'[1]Palmar Varela 2904-4'!$F$16</f>
        <v>31520.5</v>
      </c>
      <c r="I9" s="254"/>
    </row>
    <row r="10" spans="2:9" x14ac:dyDescent="0.25">
      <c r="B10" s="88" t="s">
        <v>14</v>
      </c>
      <c r="C10" s="91" t="s">
        <v>147</v>
      </c>
      <c r="D10" s="37" t="s">
        <v>50</v>
      </c>
      <c r="E10" s="37" t="s">
        <v>50</v>
      </c>
      <c r="F10" s="37" t="s">
        <v>50</v>
      </c>
      <c r="G10" s="37" t="s">
        <v>50</v>
      </c>
      <c r="H10" s="74" t="s">
        <v>50</v>
      </c>
      <c r="I10" s="254"/>
    </row>
    <row r="11" spans="2:9" ht="30" x14ac:dyDescent="0.25">
      <c r="B11" s="87" t="s">
        <v>39</v>
      </c>
      <c r="C11" s="92" t="s">
        <v>148</v>
      </c>
      <c r="D11" s="59">
        <f>'[1]Palmar Varela 2904-4'!$F$31</f>
        <v>46.729426851851855</v>
      </c>
      <c r="E11" s="59">
        <f>'[1]Palmar Varela 2904-4'!$F$32</f>
        <v>47.434503877314818</v>
      </c>
      <c r="F11" s="59">
        <f>'[1]Palmar Varela 2904-4'!$F$33</f>
        <v>47.990325347222225</v>
      </c>
      <c r="G11" s="59">
        <f>'[1]Palmar Varela 2904-4'!$F$34</f>
        <v>48.502613946759261</v>
      </c>
      <c r="H11" s="75">
        <f>'[1]Palmar Varela 2904-4'!$F$35</f>
        <v>49.006351446759268</v>
      </c>
      <c r="I11" s="254"/>
    </row>
    <row r="12" spans="2:9" x14ac:dyDescent="0.25">
      <c r="B12" s="88" t="s">
        <v>40</v>
      </c>
      <c r="C12" s="90" t="s">
        <v>148</v>
      </c>
      <c r="D12" s="60">
        <v>0</v>
      </c>
      <c r="E12" s="60">
        <v>0</v>
      </c>
      <c r="F12" s="60">
        <v>0</v>
      </c>
      <c r="G12" s="60">
        <v>0</v>
      </c>
      <c r="H12" s="76">
        <v>0</v>
      </c>
      <c r="I12" s="240"/>
    </row>
    <row r="13" spans="2:9" x14ac:dyDescent="0.25">
      <c r="B13" s="87" t="s">
        <v>42</v>
      </c>
      <c r="C13" s="92" t="s">
        <v>149</v>
      </c>
      <c r="D13" s="59">
        <f>D11+D12</f>
        <v>46.729426851851855</v>
      </c>
      <c r="E13" s="59">
        <f t="shared" ref="E13:H13" si="0">E11+E12</f>
        <v>47.434503877314818</v>
      </c>
      <c r="F13" s="59">
        <f t="shared" si="0"/>
        <v>47.990325347222225</v>
      </c>
      <c r="G13" s="59">
        <f t="shared" si="0"/>
        <v>48.502613946759261</v>
      </c>
      <c r="H13" s="75">
        <f t="shared" si="0"/>
        <v>49.006351446759268</v>
      </c>
      <c r="I13" s="87" t="s">
        <v>56</v>
      </c>
    </row>
    <row r="14" spans="2:9" x14ac:dyDescent="0.25">
      <c r="B14" s="88" t="s">
        <v>17</v>
      </c>
      <c r="C14" s="93" t="s">
        <v>58</v>
      </c>
      <c r="D14" s="40">
        <v>250</v>
      </c>
      <c r="E14" s="40">
        <v>250</v>
      </c>
      <c r="F14" s="40">
        <v>250</v>
      </c>
      <c r="G14" s="40">
        <v>250</v>
      </c>
      <c r="H14" s="77">
        <v>250</v>
      </c>
      <c r="I14" s="239" t="s">
        <v>104</v>
      </c>
    </row>
    <row r="15" spans="2:9" x14ac:dyDescent="0.25">
      <c r="B15" s="88" t="s">
        <v>20</v>
      </c>
      <c r="C15" s="93" t="s">
        <v>58</v>
      </c>
      <c r="D15" s="40">
        <v>250</v>
      </c>
      <c r="E15" s="40">
        <v>250</v>
      </c>
      <c r="F15" s="40">
        <v>250</v>
      </c>
      <c r="G15" s="40">
        <v>250</v>
      </c>
      <c r="H15" s="77">
        <v>250</v>
      </c>
      <c r="I15" s="240"/>
    </row>
    <row r="16" spans="2:9" x14ac:dyDescent="0.25">
      <c r="B16" s="88" t="s">
        <v>62</v>
      </c>
      <c r="C16" s="241" t="s">
        <v>150</v>
      </c>
      <c r="D16" s="40">
        <v>90</v>
      </c>
      <c r="E16" s="40">
        <v>90</v>
      </c>
      <c r="F16" s="40">
        <v>90</v>
      </c>
      <c r="G16" s="40">
        <v>90</v>
      </c>
      <c r="H16" s="77">
        <v>90</v>
      </c>
      <c r="I16" s="239" t="s">
        <v>151</v>
      </c>
    </row>
    <row r="17" spans="2:9" x14ac:dyDescent="0.25">
      <c r="B17" s="88" t="s">
        <v>63</v>
      </c>
      <c r="C17" s="242"/>
      <c r="D17" s="40">
        <v>90</v>
      </c>
      <c r="E17" s="40">
        <v>90</v>
      </c>
      <c r="F17" s="40">
        <v>90</v>
      </c>
      <c r="G17" s="40">
        <v>90</v>
      </c>
      <c r="H17" s="77">
        <v>90</v>
      </c>
      <c r="I17" s="240"/>
    </row>
    <row r="18" spans="2:9" ht="30" x14ac:dyDescent="0.25">
      <c r="B18" s="88" t="s">
        <v>57</v>
      </c>
      <c r="C18" s="93" t="s">
        <v>59</v>
      </c>
      <c r="D18" s="53">
        <f>SABANGRANDE!D16</f>
        <v>190.64285714285714</v>
      </c>
      <c r="E18" s="53">
        <f>SABANGRANDE!E16</f>
        <v>190.64285714285714</v>
      </c>
      <c r="F18" s="53">
        <f>SABANGRANDE!F16</f>
        <v>190.64285714285714</v>
      </c>
      <c r="G18" s="53">
        <f>SABANGRANDE!G16</f>
        <v>190.64285714285714</v>
      </c>
      <c r="H18" s="78">
        <f>SABANGRANDE!H16</f>
        <v>190.64285714285714</v>
      </c>
      <c r="I18" s="239" t="s">
        <v>80</v>
      </c>
    </row>
    <row r="19" spans="2:9" x14ac:dyDescent="0.25">
      <c r="B19" s="88" t="s">
        <v>60</v>
      </c>
      <c r="C19" s="93" t="s">
        <v>59</v>
      </c>
      <c r="D19" s="53">
        <f>SABANGRANDE!D17</f>
        <v>147.15714285714284</v>
      </c>
      <c r="E19" s="53">
        <f>SABANGRANDE!E17</f>
        <v>147.15714285714284</v>
      </c>
      <c r="F19" s="53">
        <f>SABANGRANDE!F17</f>
        <v>147.15714285714284</v>
      </c>
      <c r="G19" s="53">
        <f>SABANGRANDE!G17</f>
        <v>147.15714285714284</v>
      </c>
      <c r="H19" s="78">
        <f>SABANGRANDE!H17</f>
        <v>147.15714285714284</v>
      </c>
      <c r="I19" s="240"/>
    </row>
    <row r="20" spans="2:9" x14ac:dyDescent="0.25">
      <c r="B20" s="97" t="s">
        <v>67</v>
      </c>
      <c r="C20" s="243" t="s">
        <v>224</v>
      </c>
      <c r="D20" s="54">
        <f>D13*D18*0.0864*365*(1-D27/100)</f>
        <v>280942.60133420007</v>
      </c>
      <c r="E20" s="54">
        <f>E13*E18*0.0864*365*(1-E27/100)</f>
        <v>285181.60418571252</v>
      </c>
      <c r="F20" s="54">
        <f>F13*F18*0.0864*365*(1-F27/100)</f>
        <v>103868.37567000899</v>
      </c>
      <c r="G20" s="54">
        <f>G13*G18*0.0864*365*(1-G27/100)</f>
        <v>104977.15299800551</v>
      </c>
      <c r="H20" s="79">
        <f>H13*H18*0.0864*365*(1-H27/100)</f>
        <v>106067.42266195352</v>
      </c>
      <c r="I20" s="245" t="s">
        <v>225</v>
      </c>
    </row>
    <row r="21" spans="2:9" ht="148.5" customHeight="1" x14ac:dyDescent="0.25">
      <c r="B21" s="97" t="s">
        <v>68</v>
      </c>
      <c r="C21" s="244"/>
      <c r="D21" s="56">
        <f>D13*D19*0.0864*365*(1-D28/100)</f>
        <v>216859.47818236001</v>
      </c>
      <c r="E21" s="56">
        <f>E13*E19*0.0864*365*(1-E28/100)</f>
        <v>220131.56273638253</v>
      </c>
      <c r="F21" s="56">
        <f>F13*F19*0.0864*365*(1-F28/100)</f>
        <v>48996.417782541896</v>
      </c>
      <c r="G21" s="56">
        <f>G13*G19*0.0864*365*(1-G28/100)</f>
        <v>49519.446248520049</v>
      </c>
      <c r="H21" s="80">
        <f>H13*H19*0.0864*365*(1-H28/100)</f>
        <v>50033.744345566854</v>
      </c>
      <c r="I21" s="246"/>
    </row>
    <row r="22" spans="2:9" x14ac:dyDescent="0.25">
      <c r="B22" s="98" t="s">
        <v>67</v>
      </c>
      <c r="C22" s="231" t="s">
        <v>226</v>
      </c>
      <c r="D22" s="63">
        <f>D20</f>
        <v>280942.60133420007</v>
      </c>
      <c r="E22" s="63">
        <f>E20</f>
        <v>285181.60418571252</v>
      </c>
      <c r="F22" s="62">
        <f>D13*D16*0.0864*365</f>
        <v>132629.32846800002</v>
      </c>
      <c r="G22" s="62">
        <f>E13*E16*0.0864*365</f>
        <v>134630.50628475004</v>
      </c>
      <c r="H22" s="81">
        <f>F13*F16*0.0864*365</f>
        <v>136208.06101350003</v>
      </c>
      <c r="I22" s="233" t="s">
        <v>227</v>
      </c>
    </row>
    <row r="23" spans="2:9" ht="100.5" customHeight="1" x14ac:dyDescent="0.25">
      <c r="B23" s="98" t="s">
        <v>68</v>
      </c>
      <c r="C23" s="232"/>
      <c r="D23" s="64">
        <f>D21</f>
        <v>216859.47818236001</v>
      </c>
      <c r="E23" s="64">
        <f>E21</f>
        <v>220131.56273638253</v>
      </c>
      <c r="F23" s="62">
        <f>D13*D17*0.0864*365</f>
        <v>132629.32846800002</v>
      </c>
      <c r="G23" s="62">
        <f>E13*E17*0.0864*365</f>
        <v>134630.50628475004</v>
      </c>
      <c r="H23" s="81">
        <f>F13*F17*0.0864*365</f>
        <v>136208.06101350003</v>
      </c>
      <c r="I23" s="234"/>
    </row>
    <row r="24" spans="2:9" ht="30" x14ac:dyDescent="0.25">
      <c r="B24" s="99" t="s">
        <v>15</v>
      </c>
      <c r="C24" s="94"/>
      <c r="D24" s="42" t="s">
        <v>50</v>
      </c>
      <c r="E24" s="42" t="s">
        <v>50</v>
      </c>
      <c r="F24" s="42" t="s">
        <v>50</v>
      </c>
      <c r="G24" s="42" t="s">
        <v>50</v>
      </c>
      <c r="H24" s="82" t="s">
        <v>50</v>
      </c>
      <c r="I24" s="235" t="s">
        <v>65</v>
      </c>
    </row>
    <row r="25" spans="2:9" ht="30" x14ac:dyDescent="0.25">
      <c r="B25" s="100" t="s">
        <v>16</v>
      </c>
      <c r="C25" s="95"/>
      <c r="D25" s="43" t="s">
        <v>50</v>
      </c>
      <c r="E25" s="43" t="s">
        <v>50</v>
      </c>
      <c r="F25" s="43" t="s">
        <v>50</v>
      </c>
      <c r="G25" s="43" t="s">
        <v>50</v>
      </c>
      <c r="H25" s="83" t="s">
        <v>50</v>
      </c>
      <c r="I25" s="236"/>
    </row>
    <row r="26" spans="2:9" x14ac:dyDescent="0.25">
      <c r="B26" s="88" t="s">
        <v>2</v>
      </c>
      <c r="C26" s="96"/>
      <c r="D26" s="57">
        <f>'[2]% porcentaje de remocion '!$E$18</f>
        <v>0.51</v>
      </c>
      <c r="E26" s="57">
        <f>'[2]% porcentaje de remocion '!$E$19</f>
        <v>0.59</v>
      </c>
      <c r="F26" s="57">
        <f>'[2]% porcentaje de remocion '!$E$20</f>
        <v>0.67</v>
      </c>
      <c r="G26" s="57">
        <f>'[2]% porcentaje de remocion '!$E$21</f>
        <v>0.75</v>
      </c>
      <c r="H26" s="84">
        <f>'[2]% porcentaje de remocion '!$E$22</f>
        <v>0.82</v>
      </c>
      <c r="I26" s="88"/>
    </row>
    <row r="27" spans="2:9" x14ac:dyDescent="0.25">
      <c r="B27" s="88" t="s">
        <v>43</v>
      </c>
      <c r="C27" s="237" t="s">
        <v>52</v>
      </c>
      <c r="D27" s="40">
        <v>0</v>
      </c>
      <c r="E27" s="40">
        <v>0</v>
      </c>
      <c r="F27" s="40">
        <v>64</v>
      </c>
      <c r="G27" s="40">
        <v>64</v>
      </c>
      <c r="H27" s="77">
        <v>64</v>
      </c>
      <c r="I27" s="239"/>
    </row>
    <row r="28" spans="2:9" x14ac:dyDescent="0.25">
      <c r="B28" s="101" t="s">
        <v>44</v>
      </c>
      <c r="C28" s="238"/>
      <c r="D28" s="40">
        <v>0</v>
      </c>
      <c r="E28" s="40">
        <v>0</v>
      </c>
      <c r="F28" s="40">
        <v>78</v>
      </c>
      <c r="G28" s="40">
        <v>78</v>
      </c>
      <c r="H28" s="77">
        <v>78</v>
      </c>
      <c r="I28" s="240"/>
    </row>
    <row r="29" spans="2:9" ht="30" x14ac:dyDescent="0.25">
      <c r="B29" s="102" t="s">
        <v>155</v>
      </c>
      <c r="C29" s="220" t="s">
        <v>77</v>
      </c>
      <c r="D29" s="46">
        <f>'[1]Palmar Varela 2904-4'!$E$41</f>
        <v>368414.80130000005</v>
      </c>
      <c r="E29" s="46">
        <f>'[1]Palmar Varela 2904-4'!$E$42</f>
        <v>373973.62856875005</v>
      </c>
      <c r="F29" s="46">
        <f>'[1]Palmar Varela 2904-4'!$E$43</f>
        <v>378355.72503750003</v>
      </c>
      <c r="G29" s="46">
        <f>'[1]Palmar Varela 2904-4'!$E$44</f>
        <v>382394.60835624998</v>
      </c>
      <c r="H29" s="85">
        <f>'[1]Palmar Varela 2904-4'!$E$45</f>
        <v>386366.07480625005</v>
      </c>
      <c r="I29" s="222" t="s">
        <v>78</v>
      </c>
    </row>
    <row r="30" spans="2:9" ht="30" x14ac:dyDescent="0.25">
      <c r="B30" s="103" t="s">
        <v>157</v>
      </c>
      <c r="C30" s="221"/>
      <c r="D30" s="46">
        <f>'[1]Palmar Varela 2904-4'!$F$41</f>
        <v>368414.80130000005</v>
      </c>
      <c r="E30" s="46">
        <f>'[1]Palmar Varela 2904-4'!$F$42</f>
        <v>373973.62856875005</v>
      </c>
      <c r="F30" s="46">
        <f>'[1]Palmar Varela 2904-4'!$F$43</f>
        <v>378355.72503750003</v>
      </c>
      <c r="G30" s="46">
        <f>'[1]Palmar Varela 2904-4'!$F$44</f>
        <v>382394.60835624998</v>
      </c>
      <c r="H30" s="85">
        <f>'[1]Palmar Varela 2904-4'!$F$45</f>
        <v>386366.07480625005</v>
      </c>
      <c r="I30" s="223"/>
    </row>
    <row r="31" spans="2:9" ht="45.75" thickBot="1" x14ac:dyDescent="0.3">
      <c r="B31" s="104" t="s">
        <v>158</v>
      </c>
      <c r="C31" s="65" t="s">
        <v>66</v>
      </c>
      <c r="D31" s="71"/>
      <c r="E31" s="71"/>
      <c r="F31" s="71"/>
      <c r="G31" s="71"/>
      <c r="H31" s="86"/>
      <c r="I31" s="89" t="s">
        <v>159</v>
      </c>
    </row>
    <row r="32" spans="2:9" ht="49.5" customHeight="1" thickBot="1" x14ac:dyDescent="0.3">
      <c r="B32" s="70" t="s">
        <v>160</v>
      </c>
      <c r="C32" s="224" t="s">
        <v>228</v>
      </c>
      <c r="D32" s="225"/>
      <c r="E32" s="225"/>
      <c r="F32" s="225"/>
      <c r="G32" s="225"/>
      <c r="H32" s="225"/>
      <c r="I32" s="226"/>
    </row>
    <row r="33" spans="2:9" ht="15.75" thickBot="1" x14ac:dyDescent="0.3">
      <c r="B33" s="22" t="s">
        <v>32</v>
      </c>
      <c r="C33" s="227" t="s">
        <v>229</v>
      </c>
      <c r="D33" s="48">
        <f>D22</f>
        <v>280942.60133420007</v>
      </c>
      <c r="E33" s="48">
        <f t="shared" ref="E33:H34" si="1">E22</f>
        <v>285181.60418571252</v>
      </c>
      <c r="F33" s="48">
        <f t="shared" si="1"/>
        <v>132629.32846800002</v>
      </c>
      <c r="G33" s="48">
        <f t="shared" si="1"/>
        <v>134630.50628475004</v>
      </c>
      <c r="H33" s="48">
        <f t="shared" si="1"/>
        <v>136208.06101350003</v>
      </c>
      <c r="I33" s="229" t="s">
        <v>230</v>
      </c>
    </row>
    <row r="34" spans="2:9" ht="64.5" customHeight="1" thickBot="1" x14ac:dyDescent="0.3">
      <c r="B34" s="25" t="s">
        <v>33</v>
      </c>
      <c r="C34" s="228"/>
      <c r="D34" s="49">
        <f>D23</f>
        <v>216859.47818236001</v>
      </c>
      <c r="E34" s="49">
        <f t="shared" si="1"/>
        <v>220131.56273638253</v>
      </c>
      <c r="F34" s="49">
        <f t="shared" si="1"/>
        <v>132629.32846800002</v>
      </c>
      <c r="G34" s="49">
        <f t="shared" si="1"/>
        <v>134630.50628475004</v>
      </c>
      <c r="H34" s="49">
        <f t="shared" si="1"/>
        <v>136208.06101350003</v>
      </c>
      <c r="I34" s="230"/>
    </row>
    <row r="35" spans="2:9" ht="30.75" thickBot="1" x14ac:dyDescent="0.3">
      <c r="B35" s="66" t="s">
        <v>13</v>
      </c>
      <c r="C35" s="67"/>
      <c r="D35" s="68">
        <v>100</v>
      </c>
      <c r="E35" s="68">
        <v>0</v>
      </c>
      <c r="F35" s="68">
        <v>0</v>
      </c>
      <c r="G35" s="68">
        <v>0</v>
      </c>
      <c r="H35" s="68">
        <v>0</v>
      </c>
      <c r="I35" s="69" t="s">
        <v>93</v>
      </c>
    </row>
  </sheetData>
  <mergeCells count="26">
    <mergeCell ref="I2:I6"/>
    <mergeCell ref="B7:B8"/>
    <mergeCell ref="C7:C8"/>
    <mergeCell ref="I7:I12"/>
    <mergeCell ref="I14:I15"/>
    <mergeCell ref="D7:H7"/>
    <mergeCell ref="B2:H2"/>
    <mergeCell ref="B3:H3"/>
    <mergeCell ref="B4:H4"/>
    <mergeCell ref="B5:H5"/>
    <mergeCell ref="C6:H6"/>
    <mergeCell ref="C16:C17"/>
    <mergeCell ref="I16:I17"/>
    <mergeCell ref="I18:I19"/>
    <mergeCell ref="C20:C21"/>
    <mergeCell ref="I20:I21"/>
    <mergeCell ref="C22:C23"/>
    <mergeCell ref="I22:I23"/>
    <mergeCell ref="I24:I25"/>
    <mergeCell ref="C27:C28"/>
    <mergeCell ref="I27:I28"/>
    <mergeCell ref="C29:C30"/>
    <mergeCell ref="I29:I30"/>
    <mergeCell ref="C32:I32"/>
    <mergeCell ref="C33:C34"/>
    <mergeCell ref="I33:I34"/>
  </mergeCells>
  <pageMargins left="0.7" right="0.7" top="0.75" bottom="0.75" header="0.3" footer="0.3"/>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39997558519241921"/>
  </sheetPr>
  <dimension ref="B1:I35"/>
  <sheetViews>
    <sheetView tabSelected="1" workbookViewId="0">
      <selection activeCell="B25" sqref="B25"/>
    </sheetView>
  </sheetViews>
  <sheetFormatPr baseColWidth="10" defaultRowHeight="15" x14ac:dyDescent="0.25"/>
  <cols>
    <col min="2" max="2" width="43.7109375" customWidth="1"/>
    <col min="3" max="3" width="31.5703125" customWidth="1"/>
    <col min="4" max="4" width="11.85546875" bestFit="1" customWidth="1"/>
    <col min="9" max="9" width="51.42578125" customWidth="1"/>
  </cols>
  <sheetData>
    <row r="1" spans="2:9" ht="15.75" thickBot="1" x14ac:dyDescent="0.3"/>
    <row r="2" spans="2:9" ht="15.75" thickBot="1" x14ac:dyDescent="0.3">
      <c r="B2" s="255" t="s">
        <v>6</v>
      </c>
      <c r="C2" s="256"/>
      <c r="D2" s="256"/>
      <c r="E2" s="256"/>
      <c r="F2" s="256"/>
      <c r="G2" s="256"/>
      <c r="H2" s="257"/>
      <c r="I2" s="258" t="s">
        <v>53</v>
      </c>
    </row>
    <row r="3" spans="2:9" ht="15.75" thickBot="1" x14ac:dyDescent="0.3">
      <c r="B3" s="261" t="s">
        <v>5</v>
      </c>
      <c r="C3" s="262"/>
      <c r="D3" s="262"/>
      <c r="E3" s="262"/>
      <c r="F3" s="262"/>
      <c r="G3" s="262"/>
      <c r="H3" s="263"/>
      <c r="I3" s="259"/>
    </row>
    <row r="4" spans="2:9" ht="30.75" customHeight="1" thickBot="1" x14ac:dyDescent="0.3">
      <c r="B4" s="264" t="s">
        <v>7</v>
      </c>
      <c r="C4" s="265"/>
      <c r="D4" s="265"/>
      <c r="E4" s="265"/>
      <c r="F4" s="265"/>
      <c r="G4" s="265"/>
      <c r="H4" s="265"/>
      <c r="I4" s="259"/>
    </row>
    <row r="5" spans="2:9" ht="27.75" customHeight="1" thickBot="1" x14ac:dyDescent="0.3">
      <c r="B5" s="261" t="s">
        <v>0</v>
      </c>
      <c r="C5" s="262"/>
      <c r="D5" s="262"/>
      <c r="E5" s="262"/>
      <c r="F5" s="262"/>
      <c r="G5" s="262"/>
      <c r="H5" s="263"/>
      <c r="I5" s="259"/>
    </row>
    <row r="6" spans="2:9" ht="15.75" thickBot="1" x14ac:dyDescent="0.3">
      <c r="B6" s="31" t="s">
        <v>1</v>
      </c>
      <c r="C6" s="309" t="s">
        <v>54</v>
      </c>
      <c r="D6" s="310"/>
      <c r="E6" s="310"/>
      <c r="F6" s="310"/>
      <c r="G6" s="310"/>
      <c r="H6" s="311"/>
      <c r="I6" s="260"/>
    </row>
    <row r="7" spans="2:9" x14ac:dyDescent="0.25">
      <c r="B7" s="312" t="s">
        <v>162</v>
      </c>
      <c r="C7" s="314" t="s">
        <v>163</v>
      </c>
      <c r="D7" s="251" t="s">
        <v>4</v>
      </c>
      <c r="E7" s="252"/>
      <c r="F7" s="252"/>
      <c r="G7" s="252"/>
      <c r="H7" s="320"/>
      <c r="I7" s="318" t="s">
        <v>164</v>
      </c>
    </row>
    <row r="8" spans="2:9" x14ac:dyDescent="0.25">
      <c r="B8" s="313"/>
      <c r="C8" s="315"/>
      <c r="D8" s="33">
        <v>2021</v>
      </c>
      <c r="E8" s="33">
        <v>2022</v>
      </c>
      <c r="F8" s="33">
        <v>2023</v>
      </c>
      <c r="G8" s="33">
        <v>2024</v>
      </c>
      <c r="H8" s="33">
        <v>2025</v>
      </c>
      <c r="I8" s="319"/>
    </row>
    <row r="9" spans="2:9" x14ac:dyDescent="0.25">
      <c r="B9" s="1" t="s">
        <v>145</v>
      </c>
      <c r="C9" s="34" t="s">
        <v>146</v>
      </c>
      <c r="D9" s="35">
        <f>'[1]Santo Tomas  2904-4'!$F$12</f>
        <v>30486.5</v>
      </c>
      <c r="E9" s="35">
        <f>'[1]Santo Tomas  2904-4'!$F$13</f>
        <v>30949.5</v>
      </c>
      <c r="F9" s="35">
        <f>'[1]Santo Tomas  2904-4'!$F$14</f>
        <v>31314.5</v>
      </c>
      <c r="G9" s="35">
        <f>'[1]Santo Tomas  2904-4'!$F$15</f>
        <v>31669</v>
      </c>
      <c r="H9" s="35">
        <f>'[1]Santo Tomas  2904-4'!$F$16</f>
        <v>32008</v>
      </c>
      <c r="I9" s="319"/>
    </row>
    <row r="10" spans="2:9" x14ac:dyDescent="0.25">
      <c r="B10" s="1" t="s">
        <v>14</v>
      </c>
      <c r="C10" s="36" t="s">
        <v>147</v>
      </c>
      <c r="D10" s="37" t="s">
        <v>50</v>
      </c>
      <c r="E10" s="37" t="s">
        <v>50</v>
      </c>
      <c r="F10" s="37" t="s">
        <v>50</v>
      </c>
      <c r="G10" s="37" t="s">
        <v>50</v>
      </c>
      <c r="H10" s="37" t="s">
        <v>50</v>
      </c>
      <c r="I10" s="319"/>
    </row>
    <row r="11" spans="2:9" ht="30" x14ac:dyDescent="0.25">
      <c r="B11" s="7" t="s">
        <v>39</v>
      </c>
      <c r="C11" s="38" t="s">
        <v>148</v>
      </c>
      <c r="D11" s="59">
        <f>'[1]Santo Tomas  2904-4'!$F$31</f>
        <v>48.569517350675476</v>
      </c>
      <c r="E11" s="59">
        <f>'[1]Santo Tomas  2904-4'!$F$32</f>
        <v>49.324487635663331</v>
      </c>
      <c r="F11" s="59">
        <f>'[1]Santo Tomas  2904-4'!$F$33</f>
        <v>49.92814656971008</v>
      </c>
      <c r="G11" s="59">
        <f>'[1]Santo Tomas  2904-4'!$F$34</f>
        <v>50.516565983583796</v>
      </c>
      <c r="H11" s="59">
        <f>'[1]Santo Tomas  2904-4'!$F$35</f>
        <v>51.082004709619092</v>
      </c>
      <c r="I11" s="319"/>
    </row>
    <row r="12" spans="2:9" ht="30" x14ac:dyDescent="0.25">
      <c r="B12" s="1" t="s">
        <v>40</v>
      </c>
      <c r="C12" s="34" t="s">
        <v>148</v>
      </c>
      <c r="D12" s="60">
        <f>'[1]Santo Tomas  2904-4'!$E$31</f>
        <v>1.1707726168791743</v>
      </c>
      <c r="E12" s="60">
        <f>'[1]Santo Tomas  2904-4'!$E$32</f>
        <v>1.2058957953855496</v>
      </c>
      <c r="F12" s="60">
        <f>'[1]Santo Tomas  2904-4'!$E$33</f>
        <v>1.242072669247116</v>
      </c>
      <c r="G12" s="60">
        <f>'[1]Santo Tomas  2904-4'!$E$34</f>
        <v>1.2793348493245296</v>
      </c>
      <c r="H12" s="60">
        <f>'[1]Santo Tomas  2904-4'!$E$35</f>
        <v>1.3177148948042654</v>
      </c>
      <c r="I12" s="317"/>
    </row>
    <row r="13" spans="2:9" x14ac:dyDescent="0.25">
      <c r="B13" s="7" t="s">
        <v>42</v>
      </c>
      <c r="C13" s="38" t="s">
        <v>149</v>
      </c>
      <c r="D13" s="59">
        <f>D11+D12</f>
        <v>49.740289967554652</v>
      </c>
      <c r="E13" s="59">
        <f t="shared" ref="E13:H13" si="0">E11+E12</f>
        <v>50.530383431048882</v>
      </c>
      <c r="F13" s="59">
        <f t="shared" si="0"/>
        <v>51.170219238957195</v>
      </c>
      <c r="G13" s="59">
        <f t="shared" si="0"/>
        <v>51.795900832908323</v>
      </c>
      <c r="H13" s="59">
        <f t="shared" si="0"/>
        <v>52.39971960442336</v>
      </c>
      <c r="I13" s="7" t="s">
        <v>56</v>
      </c>
    </row>
    <row r="14" spans="2:9" x14ac:dyDescent="0.25">
      <c r="B14" s="1" t="s">
        <v>17</v>
      </c>
      <c r="C14" s="1" t="s">
        <v>58</v>
      </c>
      <c r="D14" s="40">
        <v>250</v>
      </c>
      <c r="E14" s="40">
        <v>250</v>
      </c>
      <c r="F14" s="40">
        <v>250</v>
      </c>
      <c r="G14" s="40">
        <v>250</v>
      </c>
      <c r="H14" s="40">
        <v>250</v>
      </c>
      <c r="I14" s="316" t="s">
        <v>76</v>
      </c>
    </row>
    <row r="15" spans="2:9" x14ac:dyDescent="0.25">
      <c r="B15" s="1" t="s">
        <v>20</v>
      </c>
      <c r="C15" s="1" t="s">
        <v>58</v>
      </c>
      <c r="D15" s="40">
        <v>250</v>
      </c>
      <c r="E15" s="40">
        <v>250</v>
      </c>
      <c r="F15" s="40">
        <v>250</v>
      </c>
      <c r="G15" s="40">
        <v>250</v>
      </c>
      <c r="H15" s="40">
        <v>250</v>
      </c>
      <c r="I15" s="317"/>
    </row>
    <row r="16" spans="2:9" x14ac:dyDescent="0.25">
      <c r="B16" s="1" t="s">
        <v>62</v>
      </c>
      <c r="C16" s="316" t="s">
        <v>150</v>
      </c>
      <c r="D16" s="40">
        <v>90</v>
      </c>
      <c r="E16" s="40">
        <v>90</v>
      </c>
      <c r="F16" s="40">
        <v>90</v>
      </c>
      <c r="G16" s="40">
        <v>90</v>
      </c>
      <c r="H16" s="40">
        <v>90</v>
      </c>
      <c r="I16" s="316" t="s">
        <v>64</v>
      </c>
    </row>
    <row r="17" spans="2:9" x14ac:dyDescent="0.25">
      <c r="B17" s="1" t="s">
        <v>63</v>
      </c>
      <c r="C17" s="317"/>
      <c r="D17" s="40">
        <v>90</v>
      </c>
      <c r="E17" s="40">
        <v>90</v>
      </c>
      <c r="F17" s="40">
        <v>90</v>
      </c>
      <c r="G17" s="40">
        <v>90</v>
      </c>
      <c r="H17" s="40">
        <v>90</v>
      </c>
      <c r="I17" s="317"/>
    </row>
    <row r="18" spans="2:9" ht="30" x14ac:dyDescent="0.25">
      <c r="B18" s="1" t="s">
        <v>57</v>
      </c>
      <c r="C18" s="1" t="s">
        <v>59</v>
      </c>
      <c r="D18" s="53">
        <f>SABANGRANDE!D16</f>
        <v>190.64285714285714</v>
      </c>
      <c r="E18" s="53">
        <f>SABANGRANDE!E16</f>
        <v>190.64285714285714</v>
      </c>
      <c r="F18" s="53">
        <f>SABANGRANDE!F16</f>
        <v>190.64285714285714</v>
      </c>
      <c r="G18" s="53">
        <f>SABANGRANDE!G16</f>
        <v>190.64285714285714</v>
      </c>
      <c r="H18" s="53">
        <f>SABANGRANDE!H16</f>
        <v>190.64285714285714</v>
      </c>
      <c r="I18" s="316" t="s">
        <v>61</v>
      </c>
    </row>
    <row r="19" spans="2:9" x14ac:dyDescent="0.25">
      <c r="B19" s="1" t="s">
        <v>60</v>
      </c>
      <c r="C19" s="1" t="s">
        <v>59</v>
      </c>
      <c r="D19" s="53">
        <f>SABANGRANDE!D17</f>
        <v>147.15714285714284</v>
      </c>
      <c r="E19" s="53">
        <f>SABANGRANDE!E17</f>
        <v>147.15714285714284</v>
      </c>
      <c r="F19" s="53">
        <f>SABANGRANDE!F17</f>
        <v>147.15714285714284</v>
      </c>
      <c r="G19" s="53">
        <f>SABANGRANDE!G17</f>
        <v>147.15714285714284</v>
      </c>
      <c r="H19" s="53">
        <f>SABANGRANDE!H17</f>
        <v>147.15714285714284</v>
      </c>
      <c r="I19" s="317"/>
    </row>
    <row r="20" spans="2:9" x14ac:dyDescent="0.25">
      <c r="B20" s="10" t="s">
        <v>67</v>
      </c>
      <c r="C20" s="321" t="s">
        <v>231</v>
      </c>
      <c r="D20" s="54">
        <f>D13*D18*0.0864*365*(1-D27/100)</f>
        <v>299044.25104346062</v>
      </c>
      <c r="E20" s="54">
        <f>E13*E18*0.0864*365*(1-E27/100)</f>
        <v>303794.3823394198</v>
      </c>
      <c r="F20" s="54">
        <f>F13*F18*0.0864*365*(1-F27/100)</f>
        <v>110750.81313938975</v>
      </c>
      <c r="G20" s="54">
        <f>G13*G18*0.0864*365*(1-G27/100)</f>
        <v>112105.01381171521</v>
      </c>
      <c r="H20" s="54">
        <f>H13*H18*0.0864*365*(1-H27/100)</f>
        <v>113411.89544968179</v>
      </c>
      <c r="I20" s="321" t="s">
        <v>232</v>
      </c>
    </row>
    <row r="21" spans="2:9" ht="170.25" customHeight="1" x14ac:dyDescent="0.25">
      <c r="B21" s="10" t="s">
        <v>68</v>
      </c>
      <c r="C21" s="322"/>
      <c r="D21" s="56">
        <f>D13*D19*0.0864*365*(1-D28/100)</f>
        <v>230832.13413253558</v>
      </c>
      <c r="E21" s="56">
        <f>E13*E19*0.0864*365*(1-E28/100)</f>
        <v>234498.75852217033</v>
      </c>
      <c r="F21" s="56">
        <f>F13*F19*0.0864*365*(1-F28/100)</f>
        <v>52242.976510708926</v>
      </c>
      <c r="G21" s="56">
        <f>G13*G19*0.0864*365*(1-G28/100)</f>
        <v>52881.775196783063</v>
      </c>
      <c r="H21" s="56">
        <f>H13*H19*0.0864*365*(1-H28/100)</f>
        <v>53498.252717617463</v>
      </c>
      <c r="I21" s="322"/>
    </row>
    <row r="22" spans="2:9" s="16" customFormat="1" ht="15" customHeight="1" x14ac:dyDescent="0.25">
      <c r="B22" s="61" t="s">
        <v>67</v>
      </c>
      <c r="C22" s="327" t="s">
        <v>233</v>
      </c>
      <c r="D22" s="63">
        <f>D20</f>
        <v>299044.25104346062</v>
      </c>
      <c r="E22" s="63">
        <f>E20</f>
        <v>303794.3823394198</v>
      </c>
      <c r="F22" s="62">
        <f>D13*D16*0.0864*365</f>
        <v>141174.88059751233</v>
      </c>
      <c r="G22" s="62">
        <f>E13*E16*0.0864*365</f>
        <v>143417.35546934017</v>
      </c>
      <c r="H22" s="62">
        <f>F13*F16*0.0864*365</f>
        <v>145233.36305277789</v>
      </c>
      <c r="I22" s="327" t="s">
        <v>227</v>
      </c>
    </row>
    <row r="23" spans="2:9" s="16" customFormat="1" ht="127.5" customHeight="1" x14ac:dyDescent="0.25">
      <c r="B23" s="61" t="s">
        <v>68</v>
      </c>
      <c r="C23" s="328"/>
      <c r="D23" s="64">
        <f>D21</f>
        <v>230832.13413253558</v>
      </c>
      <c r="E23" s="64">
        <f>E21</f>
        <v>234498.75852217033</v>
      </c>
      <c r="F23" s="62">
        <f>D13*D17*0.0864*365</f>
        <v>141174.88059751233</v>
      </c>
      <c r="G23" s="62">
        <f>E13*E17*0.0864*365</f>
        <v>143417.35546934017</v>
      </c>
      <c r="H23" s="62">
        <f>F13*F17*0.0864*365</f>
        <v>145233.36305277789</v>
      </c>
      <c r="I23" s="328"/>
    </row>
    <row r="24" spans="2:9" ht="30" x14ac:dyDescent="0.25">
      <c r="B24" s="14" t="s">
        <v>15</v>
      </c>
      <c r="C24" s="14"/>
      <c r="D24" s="42" t="s">
        <v>50</v>
      </c>
      <c r="E24" s="42" t="s">
        <v>50</v>
      </c>
      <c r="F24" s="42" t="s">
        <v>50</v>
      </c>
      <c r="G24" s="42" t="s">
        <v>50</v>
      </c>
      <c r="H24" s="42" t="s">
        <v>50</v>
      </c>
      <c r="I24" s="323" t="s">
        <v>65</v>
      </c>
    </row>
    <row r="25" spans="2:9" ht="30" x14ac:dyDescent="0.25">
      <c r="B25" s="12" t="s">
        <v>16</v>
      </c>
      <c r="C25" s="12"/>
      <c r="D25" s="43" t="s">
        <v>50</v>
      </c>
      <c r="E25" s="43" t="s">
        <v>50</v>
      </c>
      <c r="F25" s="43" t="s">
        <v>50</v>
      </c>
      <c r="G25" s="43" t="s">
        <v>50</v>
      </c>
      <c r="H25" s="43" t="s">
        <v>50</v>
      </c>
      <c r="I25" s="324"/>
    </row>
    <row r="26" spans="2:9" x14ac:dyDescent="0.25">
      <c r="B26" s="1" t="s">
        <v>2</v>
      </c>
      <c r="C26" s="44"/>
      <c r="D26" s="57">
        <f>'[2]% porcentaje de remocion '!$E$48</f>
        <v>0.88</v>
      </c>
      <c r="E26" s="57">
        <f>'[2]% porcentaje de remocion '!$E$49</f>
        <v>0.91</v>
      </c>
      <c r="F26" s="57">
        <f>'[2]% porcentaje de remocion '!$E$50</f>
        <v>0.94</v>
      </c>
      <c r="G26" s="57">
        <f>'[2]% porcentaje de remocion '!$E$51</f>
        <v>0.97</v>
      </c>
      <c r="H26" s="57">
        <f>'[2]% porcentaje de remocion '!$E$52</f>
        <v>1</v>
      </c>
      <c r="I26" s="1"/>
    </row>
    <row r="27" spans="2:9" x14ac:dyDescent="0.25">
      <c r="B27" s="1" t="s">
        <v>43</v>
      </c>
      <c r="C27" s="325" t="s">
        <v>52</v>
      </c>
      <c r="D27" s="40">
        <v>0</v>
      </c>
      <c r="E27" s="40">
        <v>0</v>
      </c>
      <c r="F27" s="40">
        <v>64</v>
      </c>
      <c r="G27" s="40">
        <v>64</v>
      </c>
      <c r="H27" s="40">
        <v>64</v>
      </c>
      <c r="I27" s="316"/>
    </row>
    <row r="28" spans="2:9" x14ac:dyDescent="0.25">
      <c r="B28" t="s">
        <v>44</v>
      </c>
      <c r="C28" s="326"/>
      <c r="D28" s="40">
        <v>0</v>
      </c>
      <c r="E28" s="40">
        <v>0</v>
      </c>
      <c r="F28" s="40">
        <v>78</v>
      </c>
      <c r="G28" s="40">
        <v>78</v>
      </c>
      <c r="H28" s="40">
        <v>78</v>
      </c>
      <c r="I28" s="317"/>
    </row>
    <row r="29" spans="2:9" ht="30" x14ac:dyDescent="0.25">
      <c r="B29" s="17" t="s">
        <v>155</v>
      </c>
      <c r="C29" s="333" t="s">
        <v>69</v>
      </c>
      <c r="D29" s="46">
        <f>'[1]Santo Tomas  2904-4'!$E$41</f>
        <v>137851.94692538117</v>
      </c>
      <c r="E29" s="46">
        <f>'[1]Santo Tomas  2904-4'!$E$42</f>
        <v>139994.73378704509</v>
      </c>
      <c r="F29" s="46">
        <f>'[1]Santo Tomas  2904-4'!$E$43</f>
        <v>141708.06272001396</v>
      </c>
      <c r="G29" s="46">
        <f>'[1]Santo Tomas  2904-4'!$E$44</f>
        <v>143378.13823724687</v>
      </c>
      <c r="H29" s="46">
        <f>'[1]Santo Tomas  2904-4'!$E$45</f>
        <v>144982.98904702929</v>
      </c>
      <c r="I29" s="329" t="s">
        <v>234</v>
      </c>
    </row>
    <row r="30" spans="2:9" ht="71.25" customHeight="1" x14ac:dyDescent="0.25">
      <c r="B30" s="19" t="s">
        <v>157</v>
      </c>
      <c r="C30" s="334"/>
      <c r="D30" s="46">
        <f>'[1]Santo Tomas  2904-4'!$F$41</f>
        <v>137851.94692538117</v>
      </c>
      <c r="E30" s="46">
        <f>'[1]Santo Tomas  2904-4'!$F$42</f>
        <v>139994.73378704509</v>
      </c>
      <c r="F30" s="46">
        <f>'[1]Santo Tomas  2904-4'!$F$43</f>
        <v>141708.06272001396</v>
      </c>
      <c r="G30" s="46">
        <f>'[1]Santo Tomas  2904-4'!$F$44</f>
        <v>143378.13823724687</v>
      </c>
      <c r="H30" s="46">
        <f>'[1]Santo Tomas  2904-4'!$F$45</f>
        <v>144982.98904702929</v>
      </c>
      <c r="I30" s="330"/>
    </row>
    <row r="31" spans="2:9" ht="45" x14ac:dyDescent="0.25">
      <c r="B31" s="58" t="s">
        <v>158</v>
      </c>
      <c r="C31" s="58" t="s">
        <v>66</v>
      </c>
      <c r="D31" s="8"/>
      <c r="E31" s="8"/>
      <c r="F31" s="8"/>
      <c r="G31" s="8"/>
      <c r="H31" s="8"/>
      <c r="I31" s="8" t="s">
        <v>159</v>
      </c>
    </row>
    <row r="32" spans="2:9" ht="34.5" customHeight="1" thickBot="1" x14ac:dyDescent="0.3">
      <c r="B32" s="47" t="s">
        <v>160</v>
      </c>
      <c r="C32" s="331" t="s">
        <v>235</v>
      </c>
      <c r="D32" s="332"/>
      <c r="E32" s="332"/>
      <c r="F32" s="332"/>
      <c r="G32" s="332"/>
      <c r="H32" s="332"/>
      <c r="I32" s="241"/>
    </row>
    <row r="33" spans="2:9" ht="15.75" thickBot="1" x14ac:dyDescent="0.3">
      <c r="B33" s="22" t="s">
        <v>32</v>
      </c>
      <c r="C33" s="227" t="s">
        <v>236</v>
      </c>
      <c r="D33" s="48">
        <f>D22</f>
        <v>299044.25104346062</v>
      </c>
      <c r="E33" s="48">
        <f t="shared" ref="E33:H33" si="1">E22</f>
        <v>303794.3823394198</v>
      </c>
      <c r="F33" s="48">
        <f t="shared" si="1"/>
        <v>141174.88059751233</v>
      </c>
      <c r="G33" s="48">
        <f t="shared" si="1"/>
        <v>143417.35546934017</v>
      </c>
      <c r="H33" s="48">
        <f t="shared" si="1"/>
        <v>145233.36305277789</v>
      </c>
      <c r="I33" s="229" t="s">
        <v>237</v>
      </c>
    </row>
    <row r="34" spans="2:9" ht="49.5" customHeight="1" thickBot="1" x14ac:dyDescent="0.3">
      <c r="B34" s="25" t="s">
        <v>33</v>
      </c>
      <c r="C34" s="228"/>
      <c r="D34" s="49">
        <f>D23</f>
        <v>230832.13413253558</v>
      </c>
      <c r="E34" s="49">
        <f t="shared" ref="E34:H34" si="2">E23</f>
        <v>234498.75852217033</v>
      </c>
      <c r="F34" s="49">
        <f t="shared" si="2"/>
        <v>141174.88059751233</v>
      </c>
      <c r="G34" s="49">
        <f t="shared" si="2"/>
        <v>143417.35546934017</v>
      </c>
      <c r="H34" s="49">
        <f t="shared" si="2"/>
        <v>145233.36305277789</v>
      </c>
      <c r="I34" s="230"/>
    </row>
    <row r="35" spans="2:9" ht="30" x14ac:dyDescent="0.25">
      <c r="B35" s="50" t="s">
        <v>13</v>
      </c>
      <c r="C35" s="1"/>
      <c r="D35" s="40">
        <v>100</v>
      </c>
      <c r="E35" s="40">
        <v>0</v>
      </c>
      <c r="F35" s="40">
        <v>0</v>
      </c>
      <c r="G35" s="40">
        <v>0</v>
      </c>
      <c r="H35" s="40">
        <v>0</v>
      </c>
      <c r="I35" s="8" t="s">
        <v>93</v>
      </c>
    </row>
  </sheetData>
  <mergeCells count="26">
    <mergeCell ref="I29:I30"/>
    <mergeCell ref="C32:I32"/>
    <mergeCell ref="I33:I34"/>
    <mergeCell ref="C29:C30"/>
    <mergeCell ref="C33:C34"/>
    <mergeCell ref="I20:I21"/>
    <mergeCell ref="I24:I25"/>
    <mergeCell ref="C27:C28"/>
    <mergeCell ref="I27:I28"/>
    <mergeCell ref="C20:C21"/>
    <mergeCell ref="C22:C23"/>
    <mergeCell ref="I22:I23"/>
    <mergeCell ref="I2:I6"/>
    <mergeCell ref="B7:B8"/>
    <mergeCell ref="C7:C8"/>
    <mergeCell ref="I18:I19"/>
    <mergeCell ref="I7:I12"/>
    <mergeCell ref="I14:I15"/>
    <mergeCell ref="C16:C17"/>
    <mergeCell ref="I16:I17"/>
    <mergeCell ref="D7:H7"/>
    <mergeCell ref="B2:H2"/>
    <mergeCell ref="B3:H3"/>
    <mergeCell ref="B4:H4"/>
    <mergeCell ref="B5:H5"/>
    <mergeCell ref="C6:H6"/>
  </mergeCells>
  <pageMargins left="0.7" right="0.7" top="0.75" bottom="0.75"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39997558519241921"/>
  </sheetPr>
  <dimension ref="B1:I37"/>
  <sheetViews>
    <sheetView topLeftCell="A22" workbookViewId="0">
      <selection activeCell="B27" sqref="B27"/>
    </sheetView>
  </sheetViews>
  <sheetFormatPr baseColWidth="10" defaultRowHeight="15" x14ac:dyDescent="0.25"/>
  <cols>
    <col min="2" max="2" width="40.28515625" customWidth="1"/>
    <col min="3" max="3" width="36.7109375" customWidth="1"/>
    <col min="4" max="4" width="13.5703125" bestFit="1" customWidth="1"/>
    <col min="9" max="9" width="62.42578125" customWidth="1"/>
  </cols>
  <sheetData>
    <row r="1" spans="2:9" ht="15.75" thickBot="1" x14ac:dyDescent="0.3"/>
    <row r="2" spans="2:9" ht="15.75" thickBot="1" x14ac:dyDescent="0.3">
      <c r="B2" s="255" t="s">
        <v>6</v>
      </c>
      <c r="C2" s="256"/>
      <c r="D2" s="256"/>
      <c r="E2" s="256"/>
      <c r="F2" s="256"/>
      <c r="G2" s="256"/>
      <c r="H2" s="257"/>
      <c r="I2" s="258" t="s">
        <v>53</v>
      </c>
    </row>
    <row r="3" spans="2:9" ht="15.75" thickBot="1" x14ac:dyDescent="0.3">
      <c r="B3" s="261" t="s">
        <v>5</v>
      </c>
      <c r="C3" s="262"/>
      <c r="D3" s="262"/>
      <c r="E3" s="262"/>
      <c r="F3" s="262"/>
      <c r="G3" s="262"/>
      <c r="H3" s="263"/>
      <c r="I3" s="259"/>
    </row>
    <row r="4" spans="2:9" ht="30.75" customHeight="1" thickBot="1" x14ac:dyDescent="0.3">
      <c r="B4" s="264" t="s">
        <v>7</v>
      </c>
      <c r="C4" s="265"/>
      <c r="D4" s="265"/>
      <c r="E4" s="265"/>
      <c r="F4" s="265"/>
      <c r="G4" s="265"/>
      <c r="H4" s="265"/>
      <c r="I4" s="259"/>
    </row>
    <row r="5" spans="2:9" ht="15.75" thickBot="1" x14ac:dyDescent="0.3">
      <c r="B5" s="335" t="s">
        <v>0</v>
      </c>
      <c r="C5" s="336"/>
      <c r="D5" s="336"/>
      <c r="E5" s="336"/>
      <c r="F5" s="336"/>
      <c r="G5" s="336"/>
      <c r="H5" s="337"/>
      <c r="I5" s="259"/>
    </row>
    <row r="6" spans="2:9" ht="15.75" thickBot="1" x14ac:dyDescent="0.3">
      <c r="B6" s="31" t="s">
        <v>1</v>
      </c>
      <c r="C6" s="309" t="s">
        <v>41</v>
      </c>
      <c r="D6" s="310"/>
      <c r="E6" s="310"/>
      <c r="F6" s="310"/>
      <c r="G6" s="310"/>
      <c r="H6" s="311"/>
      <c r="I6" s="260"/>
    </row>
    <row r="7" spans="2:9" x14ac:dyDescent="0.25">
      <c r="B7" s="312" t="s">
        <v>162</v>
      </c>
      <c r="C7" s="314" t="s">
        <v>163</v>
      </c>
      <c r="D7" s="251" t="s">
        <v>4</v>
      </c>
      <c r="E7" s="252"/>
      <c r="F7" s="252"/>
      <c r="G7" s="252"/>
      <c r="H7" s="320"/>
      <c r="I7" s="32"/>
    </row>
    <row r="8" spans="2:9" x14ac:dyDescent="0.25">
      <c r="B8" s="313"/>
      <c r="C8" s="315"/>
      <c r="D8" s="33">
        <v>2021</v>
      </c>
      <c r="E8" s="33">
        <v>2022</v>
      </c>
      <c r="F8" s="33">
        <v>2023</v>
      </c>
      <c r="G8" s="33">
        <v>2024</v>
      </c>
      <c r="H8" s="33">
        <v>2025</v>
      </c>
      <c r="I8" s="1"/>
    </row>
    <row r="9" spans="2:9" x14ac:dyDescent="0.25">
      <c r="B9" s="1" t="s">
        <v>145</v>
      </c>
      <c r="C9" s="34" t="s">
        <v>146</v>
      </c>
      <c r="D9" s="35">
        <f>'[1]Sabanagrande  2904-4'!$D$12</f>
        <v>33744.5</v>
      </c>
      <c r="E9" s="35">
        <f>'[1]Sabanagrande  2904-4'!$D$13</f>
        <v>34258.5</v>
      </c>
      <c r="F9" s="35">
        <f>'[1]Sabanagrande  2904-4'!$D$14</f>
        <v>34661</v>
      </c>
      <c r="G9" s="35">
        <f>'[1]Sabanagrande  2904-4'!$D$15</f>
        <v>35034</v>
      </c>
      <c r="H9" s="35">
        <f>'[1]Sabanagrande  2904-4'!$D$16</f>
        <v>35389</v>
      </c>
      <c r="I9" s="1"/>
    </row>
    <row r="10" spans="2:9" x14ac:dyDescent="0.25">
      <c r="B10" s="1" t="s">
        <v>14</v>
      </c>
      <c r="C10" s="36" t="s">
        <v>147</v>
      </c>
      <c r="D10" s="45"/>
      <c r="E10" s="45"/>
      <c r="F10" s="45"/>
      <c r="G10" s="45"/>
      <c r="H10" s="45"/>
      <c r="I10" s="1"/>
    </row>
    <row r="11" spans="2:9" ht="30" x14ac:dyDescent="0.25">
      <c r="B11" s="7" t="s">
        <v>39</v>
      </c>
      <c r="C11" s="38" t="s">
        <v>148</v>
      </c>
      <c r="D11" s="51">
        <f>'[1]Sabanagrande  2904-4'!$F$31</f>
        <v>53.810150991385861</v>
      </c>
      <c r="E11" s="51">
        <f>'[1]Sabanagrande  2904-4'!$F$32</f>
        <v>54.64967148698392</v>
      </c>
      <c r="F11" s="51">
        <f>'[1]Sabanagrande  2904-4'!$F$33</f>
        <v>55.31704931504251</v>
      </c>
      <c r="G11" s="51">
        <f>'[1]Sabanagrande  2904-4'!$F$34</f>
        <v>55.939809939169706</v>
      </c>
      <c r="H11" s="51">
        <f>'[1]Sabanagrande  2904-4'!$F$35</f>
        <v>56.535870364659608</v>
      </c>
      <c r="I11" s="1"/>
    </row>
    <row r="12" spans="2:9" ht="30" x14ac:dyDescent="0.25">
      <c r="B12" s="1" t="s">
        <v>40</v>
      </c>
      <c r="C12" s="34" t="s">
        <v>148</v>
      </c>
      <c r="D12" s="52">
        <f>'[1]Sabanagrande  2904-4'!$E$31</f>
        <v>1.3460458409228901</v>
      </c>
      <c r="E12" s="52">
        <f>'[1]Sabanagrande  2904-4'!$E$32</f>
        <v>1.3864272161505768</v>
      </c>
      <c r="F12" s="52">
        <f>'[1]Sabanagrande  2904-4'!$E$33</f>
        <v>1.4280200326350942</v>
      </c>
      <c r="G12" s="52">
        <f>'[1]Sabanagrande  2904-4'!$E$34</f>
        <v>1.4708606336141472</v>
      </c>
      <c r="H12" s="52">
        <f>'[1]Sabanagrande  2904-4'!$E$35</f>
        <v>1.5149864526225716</v>
      </c>
      <c r="I12" s="1"/>
    </row>
    <row r="13" spans="2:9" x14ac:dyDescent="0.25">
      <c r="B13" s="7" t="s">
        <v>42</v>
      </c>
      <c r="C13" s="38" t="s">
        <v>149</v>
      </c>
      <c r="D13" s="39">
        <f>D11+D12</f>
        <v>55.156196832308751</v>
      </c>
      <c r="E13" s="39">
        <f t="shared" ref="E13:H13" si="0">E11+E12</f>
        <v>56.036098703134499</v>
      </c>
      <c r="F13" s="39">
        <f t="shared" si="0"/>
        <v>56.745069347677607</v>
      </c>
      <c r="G13" s="39">
        <f t="shared" si="0"/>
        <v>57.41067057278385</v>
      </c>
      <c r="H13" s="39">
        <f t="shared" si="0"/>
        <v>58.050856817282181</v>
      </c>
      <c r="I13" s="7" t="s">
        <v>149</v>
      </c>
    </row>
    <row r="14" spans="2:9" ht="63.75" customHeight="1" x14ac:dyDescent="0.25">
      <c r="B14" s="1" t="s">
        <v>17</v>
      </c>
      <c r="C14" s="1" t="s">
        <v>18</v>
      </c>
      <c r="D14" s="40">
        <v>90</v>
      </c>
      <c r="E14" s="40">
        <v>90</v>
      </c>
      <c r="F14" s="40">
        <v>90</v>
      </c>
      <c r="G14" s="40">
        <v>90</v>
      </c>
      <c r="H14" s="40">
        <v>90</v>
      </c>
      <c r="I14" s="1" t="s">
        <v>238</v>
      </c>
    </row>
    <row r="15" spans="2:9" ht="60" customHeight="1" x14ac:dyDescent="0.25">
      <c r="B15" s="1" t="s">
        <v>20</v>
      </c>
      <c r="C15" s="1" t="s">
        <v>18</v>
      </c>
      <c r="D15" s="40">
        <v>90</v>
      </c>
      <c r="E15" s="40">
        <v>90</v>
      </c>
      <c r="F15" s="40">
        <v>90</v>
      </c>
      <c r="G15" s="40">
        <v>90</v>
      </c>
      <c r="H15" s="40">
        <v>90</v>
      </c>
      <c r="I15" s="1" t="s">
        <v>238</v>
      </c>
    </row>
    <row r="16" spans="2:9" ht="29.25" customHeight="1" x14ac:dyDescent="0.25">
      <c r="B16" s="1" t="s">
        <v>45</v>
      </c>
      <c r="C16" s="1" t="s">
        <v>239</v>
      </c>
      <c r="D16" s="53">
        <f>BARRANQUILLA!D16</f>
        <v>190.64285714285714</v>
      </c>
      <c r="E16" s="53">
        <f>BARRANQUILLA!E16</f>
        <v>190.64285714285714</v>
      </c>
      <c r="F16" s="53">
        <f>BARRANQUILLA!F16</f>
        <v>190.64285714285714</v>
      </c>
      <c r="G16" s="53">
        <f>BARRANQUILLA!G16</f>
        <v>190.64285714285714</v>
      </c>
      <c r="H16" s="53">
        <f>BARRANQUILLA!H16</f>
        <v>190.64285714285714</v>
      </c>
      <c r="I16" s="316" t="s">
        <v>240</v>
      </c>
    </row>
    <row r="17" spans="2:9" ht="26.25" customHeight="1" x14ac:dyDescent="0.25">
      <c r="B17" s="1" t="s">
        <v>46</v>
      </c>
      <c r="C17" s="1" t="s">
        <v>241</v>
      </c>
      <c r="D17" s="53">
        <f>BARRANQUILLA!D17</f>
        <v>147.15714285714284</v>
      </c>
      <c r="E17" s="53">
        <f>BARRANQUILLA!E17</f>
        <v>147.15714285714284</v>
      </c>
      <c r="F17" s="53">
        <f>BARRANQUILLA!F17</f>
        <v>147.15714285714284</v>
      </c>
      <c r="G17" s="53">
        <f>BARRANQUILLA!G17</f>
        <v>147.15714285714284</v>
      </c>
      <c r="H17" s="53">
        <f>BARRANQUILLA!H17</f>
        <v>147.15714285714284</v>
      </c>
      <c r="I17" s="317"/>
    </row>
    <row r="18" spans="2:9" ht="30" x14ac:dyDescent="0.25">
      <c r="B18" s="1" t="s">
        <v>47</v>
      </c>
      <c r="C18" s="1" t="s">
        <v>149</v>
      </c>
      <c r="D18" s="44">
        <f>D16*0.36</f>
        <v>68.631428571428572</v>
      </c>
      <c r="E18" s="44">
        <f t="shared" ref="E18:H18" si="1">E16*0.36</f>
        <v>68.631428571428572</v>
      </c>
      <c r="F18" s="44">
        <f t="shared" si="1"/>
        <v>68.631428571428572</v>
      </c>
      <c r="G18" s="44">
        <f t="shared" si="1"/>
        <v>68.631428571428572</v>
      </c>
      <c r="H18" s="44">
        <f t="shared" si="1"/>
        <v>68.631428571428572</v>
      </c>
      <c r="I18" s="316" t="s">
        <v>49</v>
      </c>
    </row>
    <row r="19" spans="2:9" x14ac:dyDescent="0.25">
      <c r="B19" s="1" t="s">
        <v>48</v>
      </c>
      <c r="C19" s="1" t="s">
        <v>149</v>
      </c>
      <c r="D19" s="44">
        <f>D17*(1-0.88)</f>
        <v>17.658857142857141</v>
      </c>
      <c r="E19" s="44">
        <f t="shared" ref="E19:H19" si="2">E17*(1-0.88)</f>
        <v>17.658857142857141</v>
      </c>
      <c r="F19" s="44">
        <f t="shared" si="2"/>
        <v>17.658857142857141</v>
      </c>
      <c r="G19" s="44">
        <f t="shared" si="2"/>
        <v>17.658857142857141</v>
      </c>
      <c r="H19" s="44">
        <f t="shared" si="2"/>
        <v>17.658857142857141</v>
      </c>
      <c r="I19" s="317"/>
    </row>
    <row r="20" spans="2:9" ht="30" customHeight="1" x14ac:dyDescent="0.25">
      <c r="B20" s="9" t="s">
        <v>72</v>
      </c>
      <c r="C20" s="341" t="s">
        <v>74</v>
      </c>
      <c r="D20" s="55">
        <f>(0.5*D9*365)*(1-0.64)</f>
        <v>2217013.65</v>
      </c>
      <c r="E20" s="55">
        <f t="shared" ref="E20:H20" si="3">(0.5*E9*365)*(1-0.64)</f>
        <v>2250783.4499999997</v>
      </c>
      <c r="F20" s="55">
        <f t="shared" si="3"/>
        <v>2277227.6999999997</v>
      </c>
      <c r="G20" s="55">
        <f t="shared" si="3"/>
        <v>2301733.7999999998</v>
      </c>
      <c r="H20" s="55">
        <f t="shared" si="3"/>
        <v>2325057.2999999998</v>
      </c>
      <c r="I20" s="341" t="s">
        <v>242</v>
      </c>
    </row>
    <row r="21" spans="2:9" ht="37.5" customHeight="1" x14ac:dyDescent="0.25">
      <c r="B21" s="9" t="s">
        <v>73</v>
      </c>
      <c r="C21" s="342"/>
      <c r="D21" s="55">
        <f>(0.5*D9*365)*(1-0.78)</f>
        <v>1354841.6749999998</v>
      </c>
      <c r="E21" s="55">
        <f t="shared" ref="E21:H21" si="4">(0.5*E9*365)*(1-0.78)</f>
        <v>1375478.7749999999</v>
      </c>
      <c r="F21" s="55">
        <f t="shared" si="4"/>
        <v>1391639.15</v>
      </c>
      <c r="G21" s="55">
        <f t="shared" si="4"/>
        <v>1406615.0999999999</v>
      </c>
      <c r="H21" s="55">
        <f t="shared" si="4"/>
        <v>1420868.3499999999</v>
      </c>
      <c r="I21" s="342"/>
    </row>
    <row r="22" spans="2:9" x14ac:dyDescent="0.25">
      <c r="B22" s="10" t="s">
        <v>70</v>
      </c>
      <c r="C22" s="321" t="s">
        <v>243</v>
      </c>
      <c r="D22" s="54">
        <f>(D13*D16*0.0864*365)*(1-D29/100)</f>
        <v>331605.29588553897</v>
      </c>
      <c r="E22" s="54">
        <f t="shared" ref="E22:H22" si="5">(E13*E16*0.0864*365)*(1-E29/100)</f>
        <v>336895.36548755504</v>
      </c>
      <c r="F22" s="54">
        <f t="shared" si="5"/>
        <v>122816.79979830451</v>
      </c>
      <c r="G22" s="54">
        <f t="shared" si="5"/>
        <v>124257.40095271522</v>
      </c>
      <c r="H22" s="54">
        <f t="shared" si="5"/>
        <v>125642.99492110811</v>
      </c>
      <c r="I22" s="321" t="s">
        <v>244</v>
      </c>
    </row>
    <row r="23" spans="2:9" ht="111" customHeight="1" x14ac:dyDescent="0.25">
      <c r="B23" s="10" t="s">
        <v>71</v>
      </c>
      <c r="C23" s="322"/>
      <c r="D23" s="56">
        <f>(D13*D17*0.0864*365)*(1-D30/100)</f>
        <v>255965.99122644713</v>
      </c>
      <c r="E23" s="56">
        <f>(E13*E17*0.0864*365)*(1-E30/100)</f>
        <v>260049.39377199727</v>
      </c>
      <c r="F23" s="56">
        <f>(F13*F17*0.0864*365)*(1-F30/100)</f>
        <v>57934.700478521634</v>
      </c>
      <c r="G23" s="56">
        <f>(G13*G17*0.0864*365)*(1-G30/100)</f>
        <v>58614.255690242338</v>
      </c>
      <c r="H23" s="56">
        <f>(H13*H17*0.0864*365)*(1-H30/100)</f>
        <v>59267.863109386293</v>
      </c>
      <c r="I23" s="322"/>
    </row>
    <row r="24" spans="2:9" x14ac:dyDescent="0.25">
      <c r="B24" s="58" t="s">
        <v>70</v>
      </c>
      <c r="C24" s="316" t="s">
        <v>245</v>
      </c>
      <c r="D24" s="41">
        <f>D13*D16*0.0864*365</f>
        <v>331605.29588553897</v>
      </c>
      <c r="E24" s="41">
        <f>E13*E16*0.0864*365</f>
        <v>336895.36548755504</v>
      </c>
      <c r="F24" s="41">
        <f>F13*F14*0.0864*365</f>
        <v>161056.12562535249</v>
      </c>
      <c r="G24" s="41">
        <f t="shared" ref="G24:H24" si="6">G13*G14*0.0864*365</f>
        <v>162945.26164649805</v>
      </c>
      <c r="H24" s="41">
        <f t="shared" si="6"/>
        <v>164762.26385308299</v>
      </c>
      <c r="I24" s="316" t="s">
        <v>246</v>
      </c>
    </row>
    <row r="25" spans="2:9" ht="138.75" customHeight="1" x14ac:dyDescent="0.25">
      <c r="B25" s="58" t="s">
        <v>71</v>
      </c>
      <c r="C25" s="317"/>
      <c r="D25" s="41">
        <f>D13*D17*0.0864*365</f>
        <v>255965.99122644713</v>
      </c>
      <c r="E25" s="41">
        <f>E13*E17*0.0864*365</f>
        <v>260049.39377199727</v>
      </c>
      <c r="F25" s="41">
        <f>F13*F15*0.0864*365</f>
        <v>161056.12562535249</v>
      </c>
      <c r="G25" s="41">
        <f t="shared" ref="G25:H25" si="7">G13*G15*0.0864*365</f>
        <v>162945.26164649805</v>
      </c>
      <c r="H25" s="41">
        <f t="shared" si="7"/>
        <v>164762.26385308299</v>
      </c>
      <c r="I25" s="317"/>
    </row>
    <row r="26" spans="2:9" ht="30" x14ac:dyDescent="0.25">
      <c r="B26" s="14" t="s">
        <v>15</v>
      </c>
      <c r="C26" s="14" t="s">
        <v>247</v>
      </c>
      <c r="D26" s="42" t="s">
        <v>50</v>
      </c>
      <c r="E26" s="42" t="s">
        <v>50</v>
      </c>
      <c r="F26" s="42" t="s">
        <v>50</v>
      </c>
      <c r="G26" s="42" t="s">
        <v>50</v>
      </c>
      <c r="H26" s="42" t="s">
        <v>50</v>
      </c>
      <c r="I26" s="343"/>
    </row>
    <row r="27" spans="2:9" ht="30" x14ac:dyDescent="0.25">
      <c r="B27" s="12" t="s">
        <v>16</v>
      </c>
      <c r="C27" s="12" t="s">
        <v>247</v>
      </c>
      <c r="D27" s="43" t="s">
        <v>50</v>
      </c>
      <c r="E27" s="43" t="s">
        <v>50</v>
      </c>
      <c r="F27" s="43" t="s">
        <v>50</v>
      </c>
      <c r="G27" s="43" t="s">
        <v>50</v>
      </c>
      <c r="H27" s="43" t="s">
        <v>50</v>
      </c>
      <c r="I27" s="344"/>
    </row>
    <row r="28" spans="2:9" x14ac:dyDescent="0.25">
      <c r="B28" s="1" t="s">
        <v>2</v>
      </c>
      <c r="C28" s="44" t="s">
        <v>51</v>
      </c>
      <c r="D28" s="57">
        <f>'[2]% porcentaje de remocion '!$E$33</f>
        <v>0.95</v>
      </c>
      <c r="E28" s="57">
        <f>'[2]% porcentaje de remocion '!$E$34</f>
        <v>0.96</v>
      </c>
      <c r="F28" s="57">
        <f>'[2]% porcentaje de remocion '!$E$35</f>
        <v>0.98</v>
      </c>
      <c r="G28" s="57">
        <f>'[2]% porcentaje de remocion '!$E$36</f>
        <v>0.99</v>
      </c>
      <c r="H28" s="57">
        <f>'[2]% porcentaje de remocion '!$E$37</f>
        <v>1</v>
      </c>
      <c r="I28" s="1"/>
    </row>
    <row r="29" spans="2:9" ht="30" customHeight="1" x14ac:dyDescent="0.25">
      <c r="B29" s="1" t="s">
        <v>43</v>
      </c>
      <c r="C29" s="325" t="s">
        <v>52</v>
      </c>
      <c r="D29" s="40">
        <v>0</v>
      </c>
      <c r="E29" s="40">
        <v>0</v>
      </c>
      <c r="F29" s="40">
        <v>64</v>
      </c>
      <c r="G29" s="40">
        <v>64</v>
      </c>
      <c r="H29" s="40">
        <v>64</v>
      </c>
      <c r="I29" s="316" t="s">
        <v>248</v>
      </c>
    </row>
    <row r="30" spans="2:9" x14ac:dyDescent="0.25">
      <c r="B30" t="s">
        <v>44</v>
      </c>
      <c r="C30" s="326"/>
      <c r="D30" s="40">
        <v>0</v>
      </c>
      <c r="E30" s="40">
        <v>0</v>
      </c>
      <c r="F30" s="40">
        <v>78</v>
      </c>
      <c r="G30" s="40">
        <v>78</v>
      </c>
      <c r="H30" s="40">
        <v>78</v>
      </c>
      <c r="I30" s="317"/>
    </row>
    <row r="31" spans="2:9" ht="45" customHeight="1" x14ac:dyDescent="0.25">
      <c r="B31" s="17" t="s">
        <v>155</v>
      </c>
      <c r="C31" s="329" t="s">
        <v>75</v>
      </c>
      <c r="D31" s="46">
        <f>'[1]Sabanagrande  2904-4'!$E$41</f>
        <v>152726.122949791</v>
      </c>
      <c r="E31" s="46">
        <f>'[1]Sabanagrande  2904-4'!$F$42</f>
        <v>155108.88360121724</v>
      </c>
      <c r="F31" s="46">
        <f>'[1]Sabanagrande  2904-4'!$F$43</f>
        <v>157003.06204792627</v>
      </c>
      <c r="G31" s="46">
        <f>'[1]Sabanagrande  2904-4'!$F$44</f>
        <v>158770.60616174902</v>
      </c>
      <c r="H31" s="46">
        <f>'[1]Sabanagrande  2904-4'!$F$45</f>
        <v>160462.36870379149</v>
      </c>
      <c r="I31" s="329" t="s">
        <v>249</v>
      </c>
    </row>
    <row r="32" spans="2:9" ht="129.75" customHeight="1" x14ac:dyDescent="0.25">
      <c r="B32" s="19" t="s">
        <v>157</v>
      </c>
      <c r="C32" s="330"/>
      <c r="D32" s="46">
        <f>'[1]Sabanagrande  2904-4'!$F$41</f>
        <v>152726.122949791</v>
      </c>
      <c r="E32" s="46">
        <f>'[1]Sabanagrande  2904-4'!$F$42</f>
        <v>155108.88360121724</v>
      </c>
      <c r="F32" s="46">
        <f>'[1]Sabanagrande  2904-4'!$F$43</f>
        <v>157003.06204792627</v>
      </c>
      <c r="G32" s="46">
        <f>'[1]Sabanagrande  2904-4'!$F$44</f>
        <v>158770.60616174902</v>
      </c>
      <c r="H32" s="46">
        <f>'[1]Sabanagrande  2904-4'!$F$45</f>
        <v>160462.36870379149</v>
      </c>
      <c r="I32" s="330"/>
    </row>
    <row r="33" spans="2:9" ht="105" x14ac:dyDescent="0.25">
      <c r="B33" s="58" t="s">
        <v>158</v>
      </c>
      <c r="C33" s="1" t="s">
        <v>250</v>
      </c>
      <c r="D33" s="8"/>
      <c r="E33" s="8"/>
      <c r="F33" s="8"/>
      <c r="G33" s="8"/>
      <c r="H33" s="8"/>
      <c r="I33" s="8" t="s">
        <v>251</v>
      </c>
    </row>
    <row r="34" spans="2:9" ht="30" customHeight="1" thickBot="1" x14ac:dyDescent="0.3">
      <c r="B34" s="47" t="s">
        <v>160</v>
      </c>
      <c r="C34" s="338" t="s">
        <v>252</v>
      </c>
      <c r="D34" s="339"/>
      <c r="E34" s="339"/>
      <c r="F34" s="339"/>
      <c r="G34" s="339"/>
      <c r="H34" s="339"/>
      <c r="I34" s="340"/>
    </row>
    <row r="35" spans="2:9" ht="60.75" thickBot="1" x14ac:dyDescent="0.3">
      <c r="B35" s="22" t="s">
        <v>32</v>
      </c>
      <c r="C35" s="23" t="s">
        <v>253</v>
      </c>
      <c r="D35" s="48">
        <f>D24</f>
        <v>331605.29588553897</v>
      </c>
      <c r="E35" s="48">
        <f t="shared" ref="E35:H35" si="8">E24</f>
        <v>336895.36548755504</v>
      </c>
      <c r="F35" s="48">
        <f t="shared" si="8"/>
        <v>161056.12562535249</v>
      </c>
      <c r="G35" s="48">
        <f t="shared" si="8"/>
        <v>162945.26164649805</v>
      </c>
      <c r="H35" s="48">
        <f t="shared" si="8"/>
        <v>164762.26385308299</v>
      </c>
      <c r="I35" s="229" t="s">
        <v>254</v>
      </c>
    </row>
    <row r="36" spans="2:9" ht="90.75" thickBot="1" x14ac:dyDescent="0.3">
      <c r="B36" s="25" t="s">
        <v>33</v>
      </c>
      <c r="C36" s="26" t="s">
        <v>255</v>
      </c>
      <c r="D36" s="49">
        <f>D25</f>
        <v>255965.99122644713</v>
      </c>
      <c r="E36" s="49">
        <f t="shared" ref="E36:H36" si="9">E25</f>
        <v>260049.39377199727</v>
      </c>
      <c r="F36" s="49">
        <f t="shared" si="9"/>
        <v>161056.12562535249</v>
      </c>
      <c r="G36" s="49">
        <f t="shared" si="9"/>
        <v>162945.26164649805</v>
      </c>
      <c r="H36" s="49">
        <f t="shared" si="9"/>
        <v>164762.26385308299</v>
      </c>
      <c r="I36" s="230"/>
    </row>
    <row r="37" spans="2:9" ht="45" x14ac:dyDescent="0.25">
      <c r="B37" s="50" t="s">
        <v>13</v>
      </c>
      <c r="C37" s="1" t="s">
        <v>256</v>
      </c>
      <c r="D37" s="40">
        <v>100</v>
      </c>
      <c r="E37" s="40">
        <v>0</v>
      </c>
      <c r="F37" s="40">
        <v>0</v>
      </c>
      <c r="G37" s="40">
        <v>0</v>
      </c>
      <c r="H37" s="40">
        <v>0</v>
      </c>
      <c r="I37" s="8" t="s">
        <v>93</v>
      </c>
    </row>
  </sheetData>
  <mergeCells count="24">
    <mergeCell ref="I35:I36"/>
    <mergeCell ref="C29:C30"/>
    <mergeCell ref="I16:I17"/>
    <mergeCell ref="I18:I19"/>
    <mergeCell ref="I20:I21"/>
    <mergeCell ref="I22:I23"/>
    <mergeCell ref="I24:I25"/>
    <mergeCell ref="I26:I27"/>
    <mergeCell ref="I29:I30"/>
    <mergeCell ref="B7:B8"/>
    <mergeCell ref="C7:C8"/>
    <mergeCell ref="D7:H7"/>
    <mergeCell ref="I31:I32"/>
    <mergeCell ref="C34:I34"/>
    <mergeCell ref="C20:C21"/>
    <mergeCell ref="C22:C23"/>
    <mergeCell ref="C31:C32"/>
    <mergeCell ref="C24:C25"/>
    <mergeCell ref="B2:H2"/>
    <mergeCell ref="I2:I6"/>
    <mergeCell ref="B3:H3"/>
    <mergeCell ref="B4:H4"/>
    <mergeCell ref="B5:H5"/>
    <mergeCell ref="C6:H6"/>
  </mergeCells>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7" tint="0.59999389629810485"/>
  </sheetPr>
  <dimension ref="B1:K38"/>
  <sheetViews>
    <sheetView workbookViewId="0">
      <selection activeCell="I32" sqref="I32:I33"/>
    </sheetView>
  </sheetViews>
  <sheetFormatPr baseColWidth="10" defaultRowHeight="15" x14ac:dyDescent="0.25"/>
  <cols>
    <col min="2" max="2" width="44.42578125" customWidth="1"/>
    <col min="3" max="3" width="48.7109375" customWidth="1"/>
    <col min="4" max="4" width="14.28515625" customWidth="1"/>
    <col min="5" max="5" width="15.28515625" customWidth="1"/>
    <col min="9" max="9" width="55.140625" customWidth="1"/>
    <col min="10" max="10" width="18.85546875" customWidth="1"/>
    <col min="11" max="11" width="17.28515625" customWidth="1"/>
  </cols>
  <sheetData>
    <row r="1" spans="2:11" ht="15.75" thickBot="1" x14ac:dyDescent="0.3"/>
    <row r="2" spans="2:11" ht="15.75" thickBot="1" x14ac:dyDescent="0.3">
      <c r="B2" s="308" t="s">
        <v>6</v>
      </c>
      <c r="C2" s="348"/>
      <c r="D2" s="348"/>
      <c r="E2" s="348"/>
      <c r="F2" s="348"/>
      <c r="G2" s="348"/>
      <c r="H2" s="349"/>
      <c r="I2" s="258" t="s">
        <v>53</v>
      </c>
    </row>
    <row r="3" spans="2:11" ht="30.75" customHeight="1" thickBot="1" x14ac:dyDescent="0.3">
      <c r="B3" s="358" t="s">
        <v>5</v>
      </c>
      <c r="C3" s="359"/>
      <c r="D3" s="359"/>
      <c r="E3" s="359"/>
      <c r="F3" s="359"/>
      <c r="G3" s="359"/>
      <c r="H3" s="360"/>
      <c r="I3" s="259"/>
    </row>
    <row r="4" spans="2:11" ht="30.75" customHeight="1" thickBot="1" x14ac:dyDescent="0.3">
      <c r="B4" s="264" t="s">
        <v>7</v>
      </c>
      <c r="C4" s="265"/>
      <c r="D4" s="265"/>
      <c r="E4" s="265"/>
      <c r="F4" s="265"/>
      <c r="G4" s="265"/>
      <c r="H4" s="265"/>
      <c r="I4" s="259"/>
    </row>
    <row r="5" spans="2:11" ht="27.75" customHeight="1" thickBot="1" x14ac:dyDescent="0.3">
      <c r="B5" s="261" t="s">
        <v>0</v>
      </c>
      <c r="C5" s="262"/>
      <c r="D5" s="262"/>
      <c r="E5" s="262"/>
      <c r="F5" s="262"/>
      <c r="G5" s="262"/>
      <c r="H5" s="263"/>
      <c r="I5" s="259"/>
    </row>
    <row r="6" spans="2:11" ht="15.75" thickBot="1" x14ac:dyDescent="0.3">
      <c r="B6" s="6" t="s">
        <v>1</v>
      </c>
      <c r="C6" s="355" t="s">
        <v>8</v>
      </c>
      <c r="D6" s="356"/>
      <c r="E6" s="356"/>
      <c r="F6" s="356"/>
      <c r="G6" s="356"/>
      <c r="H6" s="357"/>
      <c r="I6" s="260"/>
    </row>
    <row r="7" spans="2:11" x14ac:dyDescent="0.25">
      <c r="B7" s="363" t="s">
        <v>162</v>
      </c>
      <c r="C7" s="361" t="s">
        <v>163</v>
      </c>
      <c r="D7" s="352" t="s">
        <v>4</v>
      </c>
      <c r="E7" s="353"/>
      <c r="F7" s="353"/>
      <c r="G7" s="353"/>
      <c r="H7" s="354"/>
      <c r="I7" s="128"/>
    </row>
    <row r="8" spans="2:11" x14ac:dyDescent="0.25">
      <c r="B8" s="364"/>
      <c r="C8" s="362"/>
      <c r="D8" s="145">
        <v>2021</v>
      </c>
      <c r="E8" s="2">
        <v>2022</v>
      </c>
      <c r="F8" s="2">
        <v>2023</v>
      </c>
      <c r="G8" s="2">
        <v>2024</v>
      </c>
      <c r="H8" s="146">
        <v>2025</v>
      </c>
      <c r="I8" s="129"/>
    </row>
    <row r="9" spans="2:11" x14ac:dyDescent="0.25">
      <c r="B9" s="143" t="s">
        <v>145</v>
      </c>
      <c r="C9" s="188" t="s">
        <v>146</v>
      </c>
      <c r="D9" s="147">
        <f>'[1]Proyecciones población DANE'!$G$6772</f>
        <v>1296471</v>
      </c>
      <c r="E9" s="133">
        <f>'[1]Proyecciones población DANE'!$G$6775</f>
        <v>1311856</v>
      </c>
      <c r="F9" s="133">
        <f>'[1]Proyecciones población DANE'!$G$6778</f>
        <v>1326588</v>
      </c>
      <c r="G9" s="133">
        <f>'[1]Proyecciones población DANE'!$G$6781</f>
        <v>1341160</v>
      </c>
      <c r="H9" s="148">
        <f>'[1]Proyecciones población DANE'!$G$6784</f>
        <v>1354676</v>
      </c>
      <c r="I9" s="129"/>
    </row>
    <row r="10" spans="2:11" x14ac:dyDescent="0.25">
      <c r="B10" s="143" t="s">
        <v>14</v>
      </c>
      <c r="C10" s="189" t="s">
        <v>147</v>
      </c>
      <c r="D10" s="207">
        <v>10000</v>
      </c>
      <c r="E10" s="208">
        <v>10000</v>
      </c>
      <c r="F10" s="208">
        <v>10000</v>
      </c>
      <c r="G10" s="208">
        <v>10000</v>
      </c>
      <c r="H10" s="209">
        <v>10000</v>
      </c>
      <c r="I10" s="129"/>
    </row>
    <row r="11" spans="2:11" ht="30" x14ac:dyDescent="0.25">
      <c r="B11" s="176" t="s">
        <v>39</v>
      </c>
      <c r="C11" s="190" t="s">
        <v>148</v>
      </c>
      <c r="D11" s="210">
        <f>'[1]Barranquilla TODO'!$R$31</f>
        <v>2351.550180504184</v>
      </c>
      <c r="E11" s="211">
        <f>'[1]Barranquilla TODO'!$R$32</f>
        <v>2393.9019992103626</v>
      </c>
      <c r="F11" s="211">
        <f>'[1]Barranquilla TODO'!$R$33</f>
        <v>2428.5817948502759</v>
      </c>
      <c r="G11" s="211">
        <f>'[1]Barranquilla TODO'!$R$34</f>
        <v>2462.838909924742</v>
      </c>
      <c r="H11" s="212">
        <f>'[1]Barranquilla TODO'!$R$35</f>
        <v>2496.7188226154008</v>
      </c>
      <c r="I11" s="129" t="s">
        <v>257</v>
      </c>
      <c r="J11" s="20"/>
      <c r="K11" s="21"/>
    </row>
    <row r="12" spans="2:11" ht="30" x14ac:dyDescent="0.25">
      <c r="B12" s="143" t="s">
        <v>40</v>
      </c>
      <c r="C12" s="188" t="s">
        <v>148</v>
      </c>
      <c r="D12" s="151">
        <f>'[1]Barranquilla TODO'!$Q$31</f>
        <v>359.34330980570735</v>
      </c>
      <c r="E12" s="135">
        <f>'[1]Barranquilla TODO'!$Q$32</f>
        <v>370.12360909987859</v>
      </c>
      <c r="F12" s="135">
        <f>'[1]Barranquilla TODO'!$Q$33</f>
        <v>381.22731737287501</v>
      </c>
      <c r="G12" s="135">
        <f>'[1]Barranquilla TODO'!$Q$34</f>
        <v>392.66413689406124</v>
      </c>
      <c r="H12" s="152">
        <f>'[1]Barranquilla TODO'!$Q$35</f>
        <v>404.44406100088315</v>
      </c>
      <c r="I12" s="88" t="s">
        <v>258</v>
      </c>
      <c r="K12" s="21"/>
    </row>
    <row r="13" spans="2:11" x14ac:dyDescent="0.25">
      <c r="B13" s="177" t="s">
        <v>42</v>
      </c>
      <c r="C13" s="190" t="s">
        <v>149</v>
      </c>
      <c r="D13" s="149">
        <f>D11-D12</f>
        <v>1992.2068706984767</v>
      </c>
      <c r="E13" s="134">
        <f t="shared" ref="E13:H13" si="0">E11-E12</f>
        <v>2023.778390110484</v>
      </c>
      <c r="F13" s="134">
        <f t="shared" si="0"/>
        <v>2047.3544774774009</v>
      </c>
      <c r="G13" s="134">
        <f t="shared" si="0"/>
        <v>2070.1747730306806</v>
      </c>
      <c r="H13" s="150">
        <f t="shared" si="0"/>
        <v>2092.2747616145175</v>
      </c>
      <c r="I13" s="87"/>
      <c r="J13" s="127">
        <f>(D13/D9)*86400</f>
        <v>132.76554094025119</v>
      </c>
    </row>
    <row r="14" spans="2:11" x14ac:dyDescent="0.25">
      <c r="B14" s="143" t="s">
        <v>17</v>
      </c>
      <c r="C14" s="129" t="s">
        <v>18</v>
      </c>
      <c r="D14" s="213">
        <v>250</v>
      </c>
      <c r="E14" s="214">
        <v>250</v>
      </c>
      <c r="F14" s="214">
        <v>250</v>
      </c>
      <c r="G14" s="214">
        <v>250</v>
      </c>
      <c r="H14" s="215">
        <v>250</v>
      </c>
      <c r="I14" s="129" t="s">
        <v>23</v>
      </c>
    </row>
    <row r="15" spans="2:11" x14ac:dyDescent="0.25">
      <c r="B15" s="143" t="s">
        <v>20</v>
      </c>
      <c r="C15" s="129" t="s">
        <v>18</v>
      </c>
      <c r="D15" s="213">
        <v>250</v>
      </c>
      <c r="E15" s="214">
        <v>250</v>
      </c>
      <c r="F15" s="214">
        <v>250</v>
      </c>
      <c r="G15" s="214">
        <v>250</v>
      </c>
      <c r="H15" s="215">
        <v>250</v>
      </c>
      <c r="I15" s="129" t="s">
        <v>23</v>
      </c>
    </row>
    <row r="16" spans="2:11" x14ac:dyDescent="0.25">
      <c r="B16" s="143" t="s">
        <v>19</v>
      </c>
      <c r="C16" s="129" t="s">
        <v>22</v>
      </c>
      <c r="D16" s="216">
        <f>[1]Monitoreo!$W$23</f>
        <v>190.64285714285714</v>
      </c>
      <c r="E16" s="217">
        <f>[1]Monitoreo!$W$23</f>
        <v>190.64285714285714</v>
      </c>
      <c r="F16" s="217">
        <f>[1]Monitoreo!$W$23</f>
        <v>190.64285714285714</v>
      </c>
      <c r="G16" s="217">
        <f>[1]Monitoreo!$W$23</f>
        <v>190.64285714285714</v>
      </c>
      <c r="H16" s="218">
        <f>[1]Monitoreo!$W$23</f>
        <v>190.64285714285714</v>
      </c>
      <c r="I16" s="219" t="s">
        <v>24</v>
      </c>
    </row>
    <row r="17" spans="2:10" x14ac:dyDescent="0.25">
      <c r="B17" s="143" t="s">
        <v>21</v>
      </c>
      <c r="C17" s="129" t="s">
        <v>22</v>
      </c>
      <c r="D17" s="216">
        <f>[1]Monitoreo!$X$23</f>
        <v>147.15714285714284</v>
      </c>
      <c r="E17" s="217">
        <f>[1]Monitoreo!$X$23</f>
        <v>147.15714285714284</v>
      </c>
      <c r="F17" s="217">
        <f>[1]Monitoreo!$X$23</f>
        <v>147.15714285714284</v>
      </c>
      <c r="G17" s="217">
        <f>[1]Monitoreo!$X$23</f>
        <v>147.15714285714284</v>
      </c>
      <c r="H17" s="218">
        <f>[1]Monitoreo!$X$23</f>
        <v>147.15714285714284</v>
      </c>
      <c r="I17" s="219" t="s">
        <v>24</v>
      </c>
    </row>
    <row r="18" spans="2:10" x14ac:dyDescent="0.25">
      <c r="B18" s="143" t="s">
        <v>9</v>
      </c>
      <c r="C18" s="129" t="s">
        <v>11</v>
      </c>
      <c r="D18" s="153">
        <v>0.05</v>
      </c>
      <c r="E18" s="136">
        <v>0.05</v>
      </c>
      <c r="F18" s="136">
        <v>0.05</v>
      </c>
      <c r="G18" s="136">
        <v>0.05</v>
      </c>
      <c r="H18" s="154">
        <v>0.05</v>
      </c>
      <c r="I18" s="129" t="s">
        <v>25</v>
      </c>
    </row>
    <row r="19" spans="2:10" x14ac:dyDescent="0.25">
      <c r="B19" s="143" t="s">
        <v>10</v>
      </c>
      <c r="C19" s="129" t="s">
        <v>12</v>
      </c>
      <c r="D19" s="153">
        <v>0.05</v>
      </c>
      <c r="E19" s="136">
        <v>0.05</v>
      </c>
      <c r="F19" s="136">
        <v>0.05</v>
      </c>
      <c r="G19" s="136">
        <v>0.05</v>
      </c>
      <c r="H19" s="154">
        <v>0.05</v>
      </c>
      <c r="I19" s="129" t="s">
        <v>25</v>
      </c>
    </row>
    <row r="20" spans="2:10" ht="30" x14ac:dyDescent="0.25">
      <c r="B20" s="178" t="s">
        <v>26</v>
      </c>
      <c r="C20" s="365" t="s">
        <v>106</v>
      </c>
      <c r="D20" s="155">
        <f>D9*D18*365</f>
        <v>23660595.75</v>
      </c>
      <c r="E20" s="137">
        <f t="shared" ref="E20:H20" si="1">E9*E18*365</f>
        <v>23941372</v>
      </c>
      <c r="F20" s="137">
        <f t="shared" si="1"/>
        <v>24210231.000000004</v>
      </c>
      <c r="G20" s="137">
        <f t="shared" si="1"/>
        <v>24476170</v>
      </c>
      <c r="H20" s="156">
        <f t="shared" si="1"/>
        <v>24722837</v>
      </c>
      <c r="I20" s="203" t="s">
        <v>34</v>
      </c>
    </row>
    <row r="21" spans="2:10" ht="30" x14ac:dyDescent="0.25">
      <c r="B21" s="178" t="s">
        <v>27</v>
      </c>
      <c r="C21" s="366"/>
      <c r="D21" s="155">
        <f>D9*D19*365</f>
        <v>23660595.75</v>
      </c>
      <c r="E21" s="137">
        <f t="shared" ref="E21:H21" si="2">E9*E19*365</f>
        <v>23941372</v>
      </c>
      <c r="F21" s="137">
        <f t="shared" si="2"/>
        <v>24210231.000000004</v>
      </c>
      <c r="G21" s="137">
        <f t="shared" si="2"/>
        <v>24476170</v>
      </c>
      <c r="H21" s="156">
        <f t="shared" si="2"/>
        <v>24722837</v>
      </c>
      <c r="I21" s="203" t="s">
        <v>35</v>
      </c>
    </row>
    <row r="22" spans="2:10" ht="30" x14ac:dyDescent="0.25">
      <c r="B22" s="179" t="s">
        <v>37</v>
      </c>
      <c r="C22" s="245" t="s">
        <v>259</v>
      </c>
      <c r="D22" s="157">
        <f>(D11+D12)*D16*0.0864*365</f>
        <v>16298198.381977972</v>
      </c>
      <c r="E22" s="11">
        <f t="shared" ref="E22:H22" si="3">(E11+E12)*E16*0.0864*365</f>
        <v>16617634.686915711</v>
      </c>
      <c r="F22" s="11">
        <f t="shared" si="3"/>
        <v>16892890.292516563</v>
      </c>
      <c r="G22" s="11">
        <f t="shared" si="3"/>
        <v>17167607.39724794</v>
      </c>
      <c r="H22" s="158">
        <f t="shared" si="3"/>
        <v>17442119.502158787</v>
      </c>
      <c r="I22" s="245" t="s">
        <v>260</v>
      </c>
      <c r="J22" s="28"/>
    </row>
    <row r="23" spans="2:10" ht="30" x14ac:dyDescent="0.25">
      <c r="B23" s="179" t="s">
        <v>38</v>
      </c>
      <c r="C23" s="246"/>
      <c r="D23" s="157">
        <f>(D11+D12)*D17*0.0864*365</f>
        <v>12580572.613919454</v>
      </c>
      <c r="E23" s="11">
        <f t="shared" ref="E23:H23" si="4">(E11+E12)*E17*0.0864*365</f>
        <v>12827145.366048612</v>
      </c>
      <c r="F23" s="11">
        <f t="shared" si="4"/>
        <v>13039615.05456824</v>
      </c>
      <c r="G23" s="11">
        <f t="shared" si="4"/>
        <v>13251669.074488651</v>
      </c>
      <c r="H23" s="158">
        <f t="shared" si="4"/>
        <v>13463564.855132086</v>
      </c>
      <c r="I23" s="246"/>
      <c r="J23" s="29"/>
    </row>
    <row r="24" spans="2:10" ht="34.5" customHeight="1" x14ac:dyDescent="0.25">
      <c r="B24" s="180" t="s">
        <v>28</v>
      </c>
      <c r="C24" s="88" t="s">
        <v>261</v>
      </c>
      <c r="D24" s="159">
        <v>70</v>
      </c>
      <c r="E24" s="5">
        <v>70</v>
      </c>
      <c r="F24" s="5">
        <v>70</v>
      </c>
      <c r="G24" s="5">
        <v>70</v>
      </c>
      <c r="H24" s="160">
        <v>70</v>
      </c>
      <c r="I24" s="88" t="s">
        <v>29</v>
      </c>
    </row>
    <row r="25" spans="2:10" ht="30.75" customHeight="1" x14ac:dyDescent="0.25">
      <c r="B25" s="181" t="s">
        <v>30</v>
      </c>
      <c r="C25" s="88" t="s">
        <v>261</v>
      </c>
      <c r="D25" s="159">
        <v>70</v>
      </c>
      <c r="E25" s="5">
        <v>70</v>
      </c>
      <c r="F25" s="5">
        <v>70</v>
      </c>
      <c r="G25" s="5">
        <v>70</v>
      </c>
      <c r="H25" s="160">
        <v>70</v>
      </c>
      <c r="I25" s="88" t="s">
        <v>29</v>
      </c>
    </row>
    <row r="26" spans="2:10" ht="30" x14ac:dyDescent="0.25">
      <c r="B26" s="182" t="s">
        <v>15</v>
      </c>
      <c r="C26" s="367" t="s">
        <v>262</v>
      </c>
      <c r="D26" s="161">
        <f>D12*D24*0.0864*365</f>
        <v>793257.54326229508</v>
      </c>
      <c r="E26" s="15">
        <f t="shared" ref="E26:H26" si="5">E12*E24*0.0864*365</f>
        <v>817055.26956016407</v>
      </c>
      <c r="F26" s="15">
        <f t="shared" si="5"/>
        <v>841566.92764696898</v>
      </c>
      <c r="G26" s="15">
        <f t="shared" si="5"/>
        <v>866813.93547637819</v>
      </c>
      <c r="H26" s="162">
        <f t="shared" si="5"/>
        <v>892818.35354066966</v>
      </c>
      <c r="I26" s="235" t="s">
        <v>263</v>
      </c>
    </row>
    <row r="27" spans="2:10" ht="50.25" customHeight="1" x14ac:dyDescent="0.25">
      <c r="B27" s="183" t="s">
        <v>16</v>
      </c>
      <c r="C27" s="368"/>
      <c r="D27" s="163">
        <f>D12*D25*0.0864*365</f>
        <v>793257.54326229508</v>
      </c>
      <c r="E27" s="13">
        <f t="shared" ref="E27:H27" si="6">E12*E25*0.0864*365</f>
        <v>817055.26956016407</v>
      </c>
      <c r="F27" s="13">
        <f t="shared" si="6"/>
        <v>841566.92764696898</v>
      </c>
      <c r="G27" s="13">
        <f t="shared" si="6"/>
        <v>866813.93547637819</v>
      </c>
      <c r="H27" s="164">
        <f t="shared" si="6"/>
        <v>892818.35354066966</v>
      </c>
      <c r="I27" s="236"/>
    </row>
    <row r="28" spans="2:10" s="16" customFormat="1" ht="33.75" customHeight="1" x14ac:dyDescent="0.25">
      <c r="B28" s="144" t="s">
        <v>264</v>
      </c>
      <c r="C28" s="191" t="s">
        <v>265</v>
      </c>
      <c r="D28" s="165">
        <f>(D26/D22)*100</f>
        <v>4.8671486545375098</v>
      </c>
      <c r="E28" s="138">
        <f t="shared" ref="E28:H28" si="7">(E26/E22)*100</f>
        <v>4.9167964331499707</v>
      </c>
      <c r="F28" s="138">
        <f t="shared" si="7"/>
        <v>4.9817817618798932</v>
      </c>
      <c r="G28" s="138">
        <f t="shared" si="7"/>
        <v>5.0491248746481299</v>
      </c>
      <c r="H28" s="166">
        <f t="shared" si="7"/>
        <v>5.1187492060822466</v>
      </c>
      <c r="I28" s="88" t="s">
        <v>36</v>
      </c>
    </row>
    <row r="29" spans="2:10" s="16" customFormat="1" ht="43.5" customHeight="1" x14ac:dyDescent="0.25">
      <c r="B29" s="184" t="s">
        <v>266</v>
      </c>
      <c r="C29" s="191" t="s">
        <v>265</v>
      </c>
      <c r="D29" s="165">
        <f>(D27/D23)*100</f>
        <v>6.3054168328126448</v>
      </c>
      <c r="E29" s="138">
        <f t="shared" ref="E29:H29" si="8">(E27/E23)*100</f>
        <v>6.3697357926789984</v>
      </c>
      <c r="F29" s="138">
        <f t="shared" si="8"/>
        <v>6.453924629869638</v>
      </c>
      <c r="G29" s="138">
        <f t="shared" si="8"/>
        <v>6.5411679887563619</v>
      </c>
      <c r="H29" s="166">
        <f t="shared" si="8"/>
        <v>6.6313666784940857</v>
      </c>
      <c r="I29" s="88" t="s">
        <v>31</v>
      </c>
    </row>
    <row r="30" spans="2:10" x14ac:dyDescent="0.25">
      <c r="B30" s="143" t="s">
        <v>2</v>
      </c>
      <c r="C30" s="192"/>
      <c r="D30" s="167">
        <v>100</v>
      </c>
      <c r="E30" s="3">
        <v>100</v>
      </c>
      <c r="F30" s="3">
        <v>100</v>
      </c>
      <c r="G30" s="3">
        <v>100</v>
      </c>
      <c r="H30" s="168">
        <v>100</v>
      </c>
      <c r="I30" s="129"/>
    </row>
    <row r="31" spans="2:10" x14ac:dyDescent="0.25">
      <c r="B31" s="143" t="s">
        <v>3</v>
      </c>
      <c r="C31" s="193"/>
      <c r="D31" s="169">
        <v>0</v>
      </c>
      <c r="E31" s="4">
        <v>0</v>
      </c>
      <c r="F31" s="4">
        <v>0</v>
      </c>
      <c r="G31" s="4">
        <v>0</v>
      </c>
      <c r="H31" s="170">
        <v>0</v>
      </c>
      <c r="I31" s="129"/>
    </row>
    <row r="32" spans="2:10" ht="30" x14ac:dyDescent="0.25">
      <c r="B32" s="185" t="s">
        <v>267</v>
      </c>
      <c r="C32" s="222" t="s">
        <v>107</v>
      </c>
      <c r="D32" s="171">
        <f>'[1]Barranquilla TODO'!$E$44</f>
        <v>18425353.372211993</v>
      </c>
      <c r="E32" s="18">
        <f>'[1]Barranquilla TODO'!$E$45</f>
        <v>18737844.581942514</v>
      </c>
      <c r="F32" s="18">
        <f>'[1]Barranquilla TODO'!$E$46</f>
        <v>19002633.627775356</v>
      </c>
      <c r="G32" s="18">
        <f>'[1]Barranquilla TODO'!$E$47</f>
        <v>19264762.395555802</v>
      </c>
      <c r="H32" s="172">
        <f>'[1]Barranquilla TODO'!$E$48</f>
        <v>19521812.167589746</v>
      </c>
      <c r="I32" s="222" t="s">
        <v>268</v>
      </c>
    </row>
    <row r="33" spans="2:10" ht="57.75" customHeight="1" thickBot="1" x14ac:dyDescent="0.3">
      <c r="B33" s="186" t="s">
        <v>269</v>
      </c>
      <c r="C33" s="369"/>
      <c r="D33" s="173">
        <f>'[1]Barranquilla TODO'!$F$44</f>
        <v>18425353.372211993</v>
      </c>
      <c r="E33" s="139">
        <f>'[1]Barranquilla TODO'!$F$45</f>
        <v>18737844.581942514</v>
      </c>
      <c r="F33" s="139">
        <f>'[1]Barranquilla TODO'!$F$46</f>
        <v>19002633.627775356</v>
      </c>
      <c r="G33" s="139">
        <f>'[1]Barranquilla TODO'!$F$47</f>
        <v>19264762.395555802</v>
      </c>
      <c r="H33" s="174">
        <f>'[1]Barranquilla TODO'!$F$48</f>
        <v>19521812.167589746</v>
      </c>
      <c r="I33" s="223"/>
    </row>
    <row r="34" spans="2:10" ht="75.75" thickBot="1" x14ac:dyDescent="0.3">
      <c r="B34" s="187" t="s">
        <v>158</v>
      </c>
      <c r="C34" s="130" t="s">
        <v>250</v>
      </c>
      <c r="D34" s="175"/>
      <c r="E34" s="141"/>
      <c r="F34" s="141"/>
      <c r="G34" s="141"/>
      <c r="H34" s="142"/>
      <c r="I34" s="104" t="s">
        <v>270</v>
      </c>
    </row>
    <row r="35" spans="2:10" ht="33.75" customHeight="1" thickBot="1" x14ac:dyDescent="0.3">
      <c r="B35" s="140" t="s">
        <v>160</v>
      </c>
      <c r="C35" s="345" t="s">
        <v>271</v>
      </c>
      <c r="D35" s="346"/>
      <c r="E35" s="346"/>
      <c r="F35" s="346"/>
      <c r="G35" s="346"/>
      <c r="H35" s="346"/>
      <c r="I35" s="347"/>
    </row>
    <row r="36" spans="2:10" ht="45.75" thickBot="1" x14ac:dyDescent="0.3">
      <c r="B36" s="194" t="s">
        <v>32</v>
      </c>
      <c r="C36" s="200" t="s">
        <v>253</v>
      </c>
      <c r="D36" s="197">
        <f>D22+D26</f>
        <v>17091455.925240267</v>
      </c>
      <c r="E36" s="24">
        <f t="shared" ref="E36:H36" si="9">E22+E26</f>
        <v>17434689.956475876</v>
      </c>
      <c r="F36" s="24">
        <f t="shared" si="9"/>
        <v>17734457.220163532</v>
      </c>
      <c r="G36" s="24">
        <f t="shared" si="9"/>
        <v>18034421.332724318</v>
      </c>
      <c r="H36" s="24">
        <f t="shared" si="9"/>
        <v>18334937.855699457</v>
      </c>
      <c r="I36" s="350" t="s">
        <v>272</v>
      </c>
      <c r="J36" s="30"/>
    </row>
    <row r="37" spans="2:10" ht="144.75" customHeight="1" thickBot="1" x14ac:dyDescent="0.3">
      <c r="B37" s="195" t="s">
        <v>33</v>
      </c>
      <c r="C37" s="201" t="s">
        <v>273</v>
      </c>
      <c r="D37" s="198">
        <f>D23+D27</f>
        <v>13373830.157181749</v>
      </c>
      <c r="E37" s="27">
        <f t="shared" ref="E37:H37" si="10">E23+E27</f>
        <v>13644200.635608776</v>
      </c>
      <c r="F37" s="27">
        <f t="shared" si="10"/>
        <v>13881181.982215209</v>
      </c>
      <c r="G37" s="27">
        <f t="shared" si="10"/>
        <v>14118483.009965029</v>
      </c>
      <c r="H37" s="27">
        <f t="shared" si="10"/>
        <v>14356383.208672756</v>
      </c>
      <c r="I37" s="351"/>
      <c r="J37" s="30"/>
    </row>
    <row r="38" spans="2:10" ht="60.75" thickBot="1" x14ac:dyDescent="0.3">
      <c r="B38" s="196" t="s">
        <v>13</v>
      </c>
      <c r="C38" s="202" t="s">
        <v>256</v>
      </c>
      <c r="D38" s="199">
        <v>0</v>
      </c>
      <c r="E38" s="131">
        <v>0</v>
      </c>
      <c r="F38" s="131">
        <v>20</v>
      </c>
      <c r="G38" s="131">
        <v>40</v>
      </c>
      <c r="H38" s="132">
        <v>40</v>
      </c>
      <c r="I38" s="130" t="s">
        <v>274</v>
      </c>
    </row>
  </sheetData>
  <mergeCells count="18">
    <mergeCell ref="I26:I27"/>
    <mergeCell ref="C32:C33"/>
    <mergeCell ref="I2:I6"/>
    <mergeCell ref="I32:I33"/>
    <mergeCell ref="C35:I35"/>
    <mergeCell ref="B2:H2"/>
    <mergeCell ref="I36:I37"/>
    <mergeCell ref="B5:H5"/>
    <mergeCell ref="D7:H7"/>
    <mergeCell ref="C6:H6"/>
    <mergeCell ref="B3:H3"/>
    <mergeCell ref="B4:H4"/>
    <mergeCell ref="C7:C8"/>
    <mergeCell ref="B7:B8"/>
    <mergeCell ref="C20:C21"/>
    <mergeCell ref="C22:C23"/>
    <mergeCell ref="I22:I23"/>
    <mergeCell ref="C26:C27"/>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499984740745262"/>
  </sheetPr>
  <dimension ref="B1:I35"/>
  <sheetViews>
    <sheetView topLeftCell="A15" workbookViewId="0">
      <selection activeCell="B25" sqref="B25"/>
    </sheetView>
  </sheetViews>
  <sheetFormatPr baseColWidth="10" defaultRowHeight="15" x14ac:dyDescent="0.25"/>
  <cols>
    <col min="2" max="2" width="40.85546875" customWidth="1"/>
    <col min="3" max="3" width="38.5703125" customWidth="1"/>
    <col min="4" max="4" width="11.85546875" bestFit="1" customWidth="1"/>
    <col min="9" max="9" width="51.42578125" customWidth="1"/>
  </cols>
  <sheetData>
    <row r="1" spans="2:9" ht="15.75" thickBot="1" x14ac:dyDescent="0.3"/>
    <row r="2" spans="2:9" ht="15.75" customHeight="1" thickBot="1" x14ac:dyDescent="0.3">
      <c r="B2" s="255" t="s">
        <v>6</v>
      </c>
      <c r="C2" s="256"/>
      <c r="D2" s="256"/>
      <c r="E2" s="256"/>
      <c r="F2" s="256"/>
      <c r="G2" s="256"/>
      <c r="H2" s="257"/>
      <c r="I2" s="258" t="s">
        <v>53</v>
      </c>
    </row>
    <row r="3" spans="2:9" ht="30.75" customHeight="1" thickBot="1" x14ac:dyDescent="0.3">
      <c r="B3" s="261" t="s">
        <v>5</v>
      </c>
      <c r="C3" s="262"/>
      <c r="D3" s="262"/>
      <c r="E3" s="262"/>
      <c r="F3" s="262"/>
      <c r="G3" s="262"/>
      <c r="H3" s="263"/>
      <c r="I3" s="259"/>
    </row>
    <row r="4" spans="2:9" ht="30.75" customHeight="1" thickBot="1" x14ac:dyDescent="0.3">
      <c r="B4" s="264" t="s">
        <v>98</v>
      </c>
      <c r="C4" s="265"/>
      <c r="D4" s="265"/>
      <c r="E4" s="265"/>
      <c r="F4" s="265"/>
      <c r="G4" s="265"/>
      <c r="H4" s="265"/>
      <c r="I4" s="259"/>
    </row>
    <row r="5" spans="2:9" ht="27.75" customHeight="1" thickBot="1" x14ac:dyDescent="0.3">
      <c r="B5" s="261" t="s">
        <v>0</v>
      </c>
      <c r="C5" s="262"/>
      <c r="D5" s="262"/>
      <c r="E5" s="262"/>
      <c r="F5" s="262"/>
      <c r="G5" s="262"/>
      <c r="H5" s="263"/>
      <c r="I5" s="259"/>
    </row>
    <row r="6" spans="2:9" ht="45.75" customHeight="1" thickBot="1" x14ac:dyDescent="0.3">
      <c r="B6" s="105" t="s">
        <v>1</v>
      </c>
      <c r="C6" s="266" t="s">
        <v>100</v>
      </c>
      <c r="D6" s="267"/>
      <c r="E6" s="267"/>
      <c r="F6" s="267"/>
      <c r="G6" s="267"/>
      <c r="H6" s="268"/>
      <c r="I6" s="260"/>
    </row>
    <row r="7" spans="2:9" ht="15" customHeight="1" x14ac:dyDescent="0.25">
      <c r="B7" s="247" t="s">
        <v>162</v>
      </c>
      <c r="C7" s="249" t="s">
        <v>163</v>
      </c>
      <c r="D7" s="251" t="s">
        <v>4</v>
      </c>
      <c r="E7" s="252"/>
      <c r="F7" s="252"/>
      <c r="G7" s="252"/>
      <c r="H7" s="252"/>
      <c r="I7" s="253" t="s">
        <v>164</v>
      </c>
    </row>
    <row r="8" spans="2:9" x14ac:dyDescent="0.25">
      <c r="B8" s="248"/>
      <c r="C8" s="250"/>
      <c r="D8" s="33">
        <v>2021</v>
      </c>
      <c r="E8" s="33">
        <v>2022</v>
      </c>
      <c r="F8" s="33">
        <v>2023</v>
      </c>
      <c r="G8" s="33">
        <v>2024</v>
      </c>
      <c r="H8" s="72">
        <v>2025</v>
      </c>
      <c r="I8" s="254"/>
    </row>
    <row r="9" spans="2:9" x14ac:dyDescent="0.25">
      <c r="B9" s="88" t="s">
        <v>145</v>
      </c>
      <c r="C9" s="90" t="s">
        <v>146</v>
      </c>
      <c r="D9" s="35">
        <f>'[1]Usiacurí 2903-1'!$F$12</f>
        <v>12363.5</v>
      </c>
      <c r="E9" s="35">
        <f>'[1]Usiacurí 2903-1'!$F$13</f>
        <v>12552</v>
      </c>
      <c r="F9" s="35">
        <f>'[1]Usiacurí 2903-1'!$F$14</f>
        <v>12700</v>
      </c>
      <c r="G9" s="35">
        <f>'[1]Usiacurí 2903-1'!$F$15</f>
        <v>12842</v>
      </c>
      <c r="H9" s="73">
        <f>'[1]Usiacurí 2903-1'!$F$16</f>
        <v>12975.5</v>
      </c>
      <c r="I9" s="254"/>
    </row>
    <row r="10" spans="2:9" x14ac:dyDescent="0.25">
      <c r="B10" s="88" t="s">
        <v>14</v>
      </c>
      <c r="C10" s="91" t="s">
        <v>147</v>
      </c>
      <c r="D10" s="37" t="s">
        <v>50</v>
      </c>
      <c r="E10" s="37" t="s">
        <v>50</v>
      </c>
      <c r="F10" s="37" t="s">
        <v>50</v>
      </c>
      <c r="G10" s="37" t="s">
        <v>50</v>
      </c>
      <c r="H10" s="74" t="s">
        <v>50</v>
      </c>
      <c r="I10" s="254"/>
    </row>
    <row r="11" spans="2:9" ht="30" x14ac:dyDescent="0.25">
      <c r="B11" s="87" t="s">
        <v>39</v>
      </c>
      <c r="C11" s="92" t="s">
        <v>148</v>
      </c>
      <c r="D11" s="59">
        <f>'[1]Usiacurí 2903-1'!$D$31</f>
        <v>19.222094386574074</v>
      </c>
      <c r="E11" s="59">
        <f>'[1]Usiacurí 2903-1'!$D$32</f>
        <v>19.515163888888889</v>
      </c>
      <c r="F11" s="59">
        <f>'[1]Usiacurí 2903-1'!$D$33</f>
        <v>19.745266203703707</v>
      </c>
      <c r="G11" s="59">
        <f>'[1]Usiacurí 2903-1'!$D$34</f>
        <v>19.966040046296296</v>
      </c>
      <c r="H11" s="75">
        <f>'[1]Usiacurí 2903-1'!$D$35</f>
        <v>20.173598553240744</v>
      </c>
      <c r="I11" s="254"/>
    </row>
    <row r="12" spans="2:9" ht="30" x14ac:dyDescent="0.25">
      <c r="B12" s="88" t="s">
        <v>40</v>
      </c>
      <c r="C12" s="121" t="s">
        <v>148</v>
      </c>
      <c r="D12" s="60">
        <f>'[1]Usiacurí 2903-1'!$E$31</f>
        <v>0.30507361870066785</v>
      </c>
      <c r="E12" s="60">
        <f>'[1]Usiacurí 2903-1'!$E$32</f>
        <v>0.31422582726168791</v>
      </c>
      <c r="F12" s="60">
        <f>'[1]Usiacurí 2903-1'!$E$33</f>
        <v>0.32365260207953855</v>
      </c>
      <c r="G12" s="60">
        <f>'[1]Usiacurí 2903-1'!$E$34</f>
        <v>0.3333621801419247</v>
      </c>
      <c r="H12" s="60">
        <f>'[1]Usiacurí 2903-1'!$E$35</f>
        <v>0.34336304554618247</v>
      </c>
      <c r="I12" s="240"/>
    </row>
    <row r="13" spans="2:9" x14ac:dyDescent="0.25">
      <c r="B13" s="87" t="s">
        <v>42</v>
      </c>
      <c r="C13" s="92" t="s">
        <v>149</v>
      </c>
      <c r="D13" s="113">
        <f>SUM(D11:D12)</f>
        <v>19.527168005274742</v>
      </c>
      <c r="E13" s="113">
        <f t="shared" ref="E13:H13" si="0">SUM(E11:E12)</f>
        <v>19.829389716150576</v>
      </c>
      <c r="F13" s="113">
        <f t="shared" si="0"/>
        <v>20.068918805783245</v>
      </c>
      <c r="G13" s="113">
        <f t="shared" si="0"/>
        <v>20.299402226438222</v>
      </c>
      <c r="H13" s="113">
        <f t="shared" si="0"/>
        <v>20.516961598786928</v>
      </c>
      <c r="I13" s="87" t="s">
        <v>56</v>
      </c>
    </row>
    <row r="14" spans="2:9" ht="60" customHeight="1" x14ac:dyDescent="0.25">
      <c r="B14" s="107" t="s">
        <v>17</v>
      </c>
      <c r="C14" s="110" t="s">
        <v>58</v>
      </c>
      <c r="D14" s="40">
        <v>250</v>
      </c>
      <c r="E14" s="40">
        <v>250</v>
      </c>
      <c r="F14" s="40">
        <v>250</v>
      </c>
      <c r="G14" s="40">
        <v>250</v>
      </c>
      <c r="H14" s="77">
        <v>250</v>
      </c>
      <c r="I14" s="239" t="s">
        <v>104</v>
      </c>
    </row>
    <row r="15" spans="2:9" x14ac:dyDescent="0.25">
      <c r="B15" s="88" t="s">
        <v>20</v>
      </c>
      <c r="C15" s="93" t="s">
        <v>58</v>
      </c>
      <c r="D15" s="40">
        <v>250</v>
      </c>
      <c r="E15" s="40">
        <v>250</v>
      </c>
      <c r="F15" s="40">
        <v>250</v>
      </c>
      <c r="G15" s="40">
        <v>250</v>
      </c>
      <c r="H15" s="77">
        <v>250</v>
      </c>
      <c r="I15" s="240"/>
    </row>
    <row r="16" spans="2:9" ht="45" customHeight="1" x14ac:dyDescent="0.25">
      <c r="B16" s="107" t="s">
        <v>62</v>
      </c>
      <c r="C16" s="241" t="s">
        <v>150</v>
      </c>
      <c r="D16" s="120">
        <v>90</v>
      </c>
      <c r="E16" s="120">
        <v>90</v>
      </c>
      <c r="F16" s="120">
        <v>90</v>
      </c>
      <c r="G16" s="40">
        <v>90</v>
      </c>
      <c r="H16" s="77">
        <v>90</v>
      </c>
      <c r="I16" s="239" t="s">
        <v>151</v>
      </c>
    </row>
    <row r="17" spans="2:9" x14ac:dyDescent="0.25">
      <c r="B17" s="88" t="s">
        <v>63</v>
      </c>
      <c r="C17" s="242"/>
      <c r="D17" s="120">
        <v>90</v>
      </c>
      <c r="E17" s="120">
        <v>90</v>
      </c>
      <c r="F17" s="120">
        <v>90</v>
      </c>
      <c r="G17" s="40">
        <v>90</v>
      </c>
      <c r="H17" s="77">
        <v>90</v>
      </c>
      <c r="I17" s="240"/>
    </row>
    <row r="18" spans="2:9" ht="90" customHeight="1" x14ac:dyDescent="0.25">
      <c r="B18" s="106" t="s">
        <v>57</v>
      </c>
      <c r="C18" s="110" t="s">
        <v>59</v>
      </c>
      <c r="D18" s="111">
        <v>190.64285714285714</v>
      </c>
      <c r="E18" s="111">
        <v>190.64285714285714</v>
      </c>
      <c r="F18" s="111">
        <v>190.64285714285714</v>
      </c>
      <c r="G18" s="111">
        <v>190.64285714285714</v>
      </c>
      <c r="H18" s="111">
        <v>190.64285714285714</v>
      </c>
      <c r="I18" s="239" t="s">
        <v>80</v>
      </c>
    </row>
    <row r="19" spans="2:9" ht="30" x14ac:dyDescent="0.25">
      <c r="B19" s="107" t="s">
        <v>60</v>
      </c>
      <c r="C19" s="110" t="s">
        <v>59</v>
      </c>
      <c r="D19" s="111">
        <v>147.15714285714284</v>
      </c>
      <c r="E19" s="111">
        <v>147.15714285714284</v>
      </c>
      <c r="F19" s="111">
        <v>147.15714285714284</v>
      </c>
      <c r="G19" s="111">
        <v>147.15714285714284</v>
      </c>
      <c r="H19" s="112">
        <v>147.15714285714284</v>
      </c>
      <c r="I19" s="240"/>
    </row>
    <row r="20" spans="2:9" ht="75" customHeight="1" x14ac:dyDescent="0.25">
      <c r="B20" s="97" t="s">
        <v>67</v>
      </c>
      <c r="C20" s="243" t="s">
        <v>152</v>
      </c>
      <c r="D20" s="117">
        <f>D34</f>
        <v>28092.404343045262</v>
      </c>
      <c r="E20" s="117">
        <f>E13*E18*0.0864*365*(1-E27/100)</f>
        <v>30996.298977099341</v>
      </c>
      <c r="F20" s="117">
        <f>F13*F18*0.0864*365*(1-F27/100)</f>
        <v>31370.718733947411</v>
      </c>
      <c r="G20" s="117">
        <f>G13*G18*0.0864*365*(1-G27/100)</f>
        <v>31730.998758605325</v>
      </c>
      <c r="H20" s="118">
        <f>H13*H18*0.0864*365*(1-H27/100)</f>
        <v>32071.076564686173</v>
      </c>
      <c r="I20" s="245" t="s">
        <v>177</v>
      </c>
    </row>
    <row r="21" spans="2:9" x14ac:dyDescent="0.25">
      <c r="B21" s="97" t="s">
        <v>68</v>
      </c>
      <c r="C21" s="244"/>
      <c r="D21" s="115">
        <f>D13*D19*0.0864*365*(1-D28/100)</f>
        <v>28092.404343045262</v>
      </c>
      <c r="E21" s="115">
        <f>E13*E19*0.0864*365*(1-E28/100)</f>
        <v>28527.190099017524</v>
      </c>
      <c r="F21" s="115">
        <f>F13*F19*0.0864*365*(1-F28/100)</f>
        <v>28871.784258091939</v>
      </c>
      <c r="G21" s="115">
        <f>G13*G19*0.0864*365*(1-G28/100)</f>
        <v>29203.365030360546</v>
      </c>
      <c r="H21" s="116">
        <f>H13*H19*0.0864*365*(1-H28/100)</f>
        <v>29516.352856090729</v>
      </c>
      <c r="I21" s="246"/>
    </row>
    <row r="22" spans="2:9" ht="75" customHeight="1" x14ac:dyDescent="0.25">
      <c r="B22" s="98" t="s">
        <v>67</v>
      </c>
      <c r="C22" s="231" t="s">
        <v>89</v>
      </c>
      <c r="D22" s="63">
        <f>D13*D16*0.0864*365</f>
        <v>55422.789319290991</v>
      </c>
      <c r="E22" s="63">
        <f t="shared" ref="E22:H22" si="1">E13*E16*0.0864*365</f>
        <v>56280.567067967211</v>
      </c>
      <c r="F22" s="63">
        <f t="shared" si="1"/>
        <v>56960.408111326244</v>
      </c>
      <c r="G22" s="63">
        <f t="shared" si="1"/>
        <v>57614.575375166023</v>
      </c>
      <c r="H22" s="63">
        <f t="shared" si="1"/>
        <v>58232.06108814101</v>
      </c>
      <c r="I22" s="233" t="s">
        <v>165</v>
      </c>
    </row>
    <row r="23" spans="2:9" ht="32.25" customHeight="1" x14ac:dyDescent="0.25">
      <c r="B23" s="98" t="s">
        <v>68</v>
      </c>
      <c r="C23" s="232"/>
      <c r="D23" s="64">
        <f>D13*D17*0.0864*365</f>
        <v>55422.789319290991</v>
      </c>
      <c r="E23" s="64">
        <f t="shared" ref="E23:H23" si="2">E13*E17*0.0864*365</f>
        <v>56280.567067967211</v>
      </c>
      <c r="F23" s="64">
        <f t="shared" si="2"/>
        <v>56960.408111326244</v>
      </c>
      <c r="G23" s="64">
        <f t="shared" si="2"/>
        <v>57614.575375166023</v>
      </c>
      <c r="H23" s="64">
        <f t="shared" si="2"/>
        <v>58232.06108814101</v>
      </c>
      <c r="I23" s="234"/>
    </row>
    <row r="24" spans="2:9" ht="30" x14ac:dyDescent="0.25">
      <c r="B24" s="99" t="s">
        <v>15</v>
      </c>
      <c r="C24" s="94"/>
      <c r="D24" s="42" t="s">
        <v>50</v>
      </c>
      <c r="E24" s="42" t="s">
        <v>50</v>
      </c>
      <c r="F24" s="42" t="s">
        <v>50</v>
      </c>
      <c r="G24" s="42" t="s">
        <v>50</v>
      </c>
      <c r="H24" s="82" t="s">
        <v>50</v>
      </c>
      <c r="I24" s="235" t="s">
        <v>65</v>
      </c>
    </row>
    <row r="25" spans="2:9" ht="30" x14ac:dyDescent="0.25">
      <c r="B25" s="100" t="s">
        <v>16</v>
      </c>
      <c r="C25" s="95"/>
      <c r="D25" s="43" t="s">
        <v>50</v>
      </c>
      <c r="E25" s="43" t="s">
        <v>50</v>
      </c>
      <c r="F25" s="43" t="s">
        <v>50</v>
      </c>
      <c r="G25" s="43" t="s">
        <v>50</v>
      </c>
      <c r="H25" s="83" t="s">
        <v>50</v>
      </c>
      <c r="I25" s="236"/>
    </row>
    <row r="26" spans="2:9" ht="90" x14ac:dyDescent="0.25">
      <c r="B26" s="107" t="s">
        <v>2</v>
      </c>
      <c r="C26" s="96" t="s">
        <v>92</v>
      </c>
      <c r="D26" s="57" t="s">
        <v>50</v>
      </c>
      <c r="E26" s="57" t="s">
        <v>50</v>
      </c>
      <c r="F26" s="57" t="s">
        <v>50</v>
      </c>
      <c r="G26" s="57" t="s">
        <v>50</v>
      </c>
      <c r="H26" s="57" t="s">
        <v>50</v>
      </c>
      <c r="I26" s="88" t="s">
        <v>172</v>
      </c>
    </row>
    <row r="27" spans="2:9" x14ac:dyDescent="0.25">
      <c r="B27" s="88" t="s">
        <v>43</v>
      </c>
      <c r="C27" s="237" t="s">
        <v>52</v>
      </c>
      <c r="D27" s="40">
        <v>74</v>
      </c>
      <c r="E27" s="40">
        <v>74</v>
      </c>
      <c r="F27" s="40">
        <v>74</v>
      </c>
      <c r="G27" s="40">
        <v>74</v>
      </c>
      <c r="H27" s="40">
        <v>74</v>
      </c>
      <c r="I27" s="239"/>
    </row>
    <row r="28" spans="2:9" ht="33" customHeight="1" x14ac:dyDescent="0.25">
      <c r="B28" s="101" t="s">
        <v>44</v>
      </c>
      <c r="C28" s="238"/>
      <c r="D28" s="40">
        <v>69</v>
      </c>
      <c r="E28" s="40">
        <v>69</v>
      </c>
      <c r="F28" s="40">
        <v>69</v>
      </c>
      <c r="G28" s="40">
        <v>69</v>
      </c>
      <c r="H28" s="40">
        <v>69</v>
      </c>
      <c r="I28" s="240"/>
    </row>
    <row r="29" spans="2:9" ht="30" x14ac:dyDescent="0.25">
      <c r="B29" s="102" t="s">
        <v>155</v>
      </c>
      <c r="C29" s="220" t="s">
        <v>77</v>
      </c>
      <c r="D29" s="46">
        <f>'[1]Usiacurí 2903-1'!$E$42</f>
        <v>55422.789319290991</v>
      </c>
      <c r="E29" s="46">
        <f>'[1]Usiacurí 2903-1'!$E$43</f>
        <v>56280.567067967211</v>
      </c>
      <c r="F29" s="46">
        <f>'[1]Usiacurí 2903-1'!$E$44</f>
        <v>56960.408111326244</v>
      </c>
      <c r="G29" s="46">
        <f>'[1]Usiacurí 2903-1'!$E$45</f>
        <v>57614.575375166023</v>
      </c>
      <c r="H29" s="46">
        <f>'[1]Usiacurí 2903-1'!$E$46</f>
        <v>58232.06108814101</v>
      </c>
      <c r="I29" s="222" t="s">
        <v>97</v>
      </c>
    </row>
    <row r="30" spans="2:9" ht="30" x14ac:dyDescent="0.25">
      <c r="B30" s="103" t="s">
        <v>157</v>
      </c>
      <c r="C30" s="221"/>
      <c r="D30" s="46">
        <f>'[1]Usiacurí 2903-1'!$F$42</f>
        <v>55422.789319290991</v>
      </c>
      <c r="E30" s="46">
        <f>'[1]Usiacurí 2903-1'!$F$43</f>
        <v>56280.567067967211</v>
      </c>
      <c r="F30" s="46">
        <f>'[1]Usiacurí 2903-1'!$F$44</f>
        <v>56960.408111326244</v>
      </c>
      <c r="G30" s="46">
        <f>'[1]Usiacurí 2903-1'!$F$45</f>
        <v>57614.575375166023</v>
      </c>
      <c r="H30" s="46">
        <f>'[1]Usiacurí 2903-1'!$F$46</f>
        <v>58232.06108814101</v>
      </c>
      <c r="I30" s="223"/>
    </row>
    <row r="31" spans="2:9" ht="45.75" thickBot="1" x14ac:dyDescent="0.3">
      <c r="B31" s="104" t="s">
        <v>158</v>
      </c>
      <c r="C31" s="119" t="s">
        <v>66</v>
      </c>
      <c r="D31" s="71"/>
      <c r="E31" s="71"/>
      <c r="F31" s="71"/>
      <c r="G31" s="71"/>
      <c r="H31" s="86"/>
      <c r="I31" s="89" t="s">
        <v>174</v>
      </c>
    </row>
    <row r="32" spans="2:9" ht="36.75" customHeight="1" thickBot="1" x14ac:dyDescent="0.3">
      <c r="B32" s="70" t="s">
        <v>160</v>
      </c>
      <c r="C32" s="224" t="s">
        <v>178</v>
      </c>
      <c r="D32" s="225"/>
      <c r="E32" s="225"/>
      <c r="F32" s="225"/>
      <c r="G32" s="225"/>
      <c r="H32" s="225"/>
      <c r="I32" s="226"/>
    </row>
    <row r="33" spans="2:9" ht="30.75" thickBot="1" x14ac:dyDescent="0.3">
      <c r="B33" s="22" t="s">
        <v>32</v>
      </c>
      <c r="C33" s="227" t="s">
        <v>111</v>
      </c>
      <c r="D33" s="48">
        <f>D20</f>
        <v>28092.404343045262</v>
      </c>
      <c r="E33" s="48">
        <f t="shared" ref="E33:H33" si="3">E20</f>
        <v>30996.298977099341</v>
      </c>
      <c r="F33" s="48">
        <f t="shared" si="3"/>
        <v>31370.718733947411</v>
      </c>
      <c r="G33" s="48">
        <f t="shared" si="3"/>
        <v>31730.998758605325</v>
      </c>
      <c r="H33" s="48">
        <f t="shared" si="3"/>
        <v>32071.076564686173</v>
      </c>
      <c r="I33" s="229" t="s">
        <v>179</v>
      </c>
    </row>
    <row r="34" spans="2:9" ht="90" customHeight="1" thickBot="1" x14ac:dyDescent="0.3">
      <c r="B34" s="25" t="s">
        <v>33</v>
      </c>
      <c r="C34" s="228"/>
      <c r="D34" s="49">
        <f>D21</f>
        <v>28092.404343045262</v>
      </c>
      <c r="E34" s="49">
        <f t="shared" ref="E34:H34" si="4">E21</f>
        <v>28527.190099017524</v>
      </c>
      <c r="F34" s="49">
        <f t="shared" si="4"/>
        <v>28871.784258091939</v>
      </c>
      <c r="G34" s="49">
        <f t="shared" si="4"/>
        <v>29203.365030360546</v>
      </c>
      <c r="H34" s="49">
        <f t="shared" si="4"/>
        <v>29516.352856090729</v>
      </c>
      <c r="I34" s="230"/>
    </row>
    <row r="35" spans="2:9" ht="51.75" customHeight="1" thickBot="1" x14ac:dyDescent="0.3">
      <c r="B35" s="66" t="s">
        <v>13</v>
      </c>
      <c r="C35" s="67"/>
      <c r="D35" s="68">
        <v>100</v>
      </c>
      <c r="E35" s="68">
        <v>0</v>
      </c>
      <c r="F35" s="68">
        <v>0</v>
      </c>
      <c r="G35" s="68">
        <v>0</v>
      </c>
      <c r="H35" s="68">
        <v>0</v>
      </c>
      <c r="I35" s="69" t="s">
        <v>101</v>
      </c>
    </row>
  </sheetData>
  <mergeCells count="26">
    <mergeCell ref="B2:H2"/>
    <mergeCell ref="I2:I6"/>
    <mergeCell ref="B3:H3"/>
    <mergeCell ref="B4:H4"/>
    <mergeCell ref="B5:H5"/>
    <mergeCell ref="C6:H6"/>
    <mergeCell ref="B7:B8"/>
    <mergeCell ref="C7:C8"/>
    <mergeCell ref="D7:H7"/>
    <mergeCell ref="I7:I12"/>
    <mergeCell ref="I14:I15"/>
    <mergeCell ref="C16:C17"/>
    <mergeCell ref="I16:I17"/>
    <mergeCell ref="I18:I19"/>
    <mergeCell ref="C20:C21"/>
    <mergeCell ref="I20:I21"/>
    <mergeCell ref="C22:C23"/>
    <mergeCell ref="I22:I23"/>
    <mergeCell ref="I24:I25"/>
    <mergeCell ref="C27:C28"/>
    <mergeCell ref="I27:I28"/>
    <mergeCell ref="C29:C30"/>
    <mergeCell ref="I29:I30"/>
    <mergeCell ref="C32:I32"/>
    <mergeCell ref="C33:C34"/>
    <mergeCell ref="I33:I34"/>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B1:I35"/>
  <sheetViews>
    <sheetView workbookViewId="0">
      <selection activeCell="C11" sqref="C11"/>
    </sheetView>
  </sheetViews>
  <sheetFormatPr baseColWidth="10" defaultRowHeight="15" x14ac:dyDescent="0.25"/>
  <cols>
    <col min="2" max="2" width="40.85546875" customWidth="1"/>
    <col min="3" max="3" width="38.5703125" customWidth="1"/>
    <col min="4" max="4" width="11.85546875" bestFit="1" customWidth="1"/>
    <col min="9" max="9" width="51.42578125" customWidth="1"/>
  </cols>
  <sheetData>
    <row r="1" spans="2:9" ht="15.75" thickBot="1" x14ac:dyDescent="0.3"/>
    <row r="2" spans="2:9" ht="15.75" customHeight="1" thickBot="1" x14ac:dyDescent="0.3">
      <c r="B2" s="255" t="s">
        <v>6</v>
      </c>
      <c r="C2" s="256"/>
      <c r="D2" s="256"/>
      <c r="E2" s="256"/>
      <c r="F2" s="256"/>
      <c r="G2" s="256"/>
      <c r="H2" s="257"/>
      <c r="I2" s="258" t="s">
        <v>53</v>
      </c>
    </row>
    <row r="3" spans="2:9" ht="30.75" customHeight="1" thickBot="1" x14ac:dyDescent="0.3">
      <c r="B3" s="261" t="s">
        <v>5</v>
      </c>
      <c r="C3" s="262"/>
      <c r="D3" s="262"/>
      <c r="E3" s="262"/>
      <c r="F3" s="262"/>
      <c r="G3" s="262"/>
      <c r="H3" s="263"/>
      <c r="I3" s="259"/>
    </row>
    <row r="4" spans="2:9" ht="30.75" customHeight="1" thickBot="1" x14ac:dyDescent="0.3">
      <c r="B4" s="264" t="s">
        <v>98</v>
      </c>
      <c r="C4" s="265"/>
      <c r="D4" s="265"/>
      <c r="E4" s="265"/>
      <c r="F4" s="265"/>
      <c r="G4" s="265"/>
      <c r="H4" s="265"/>
      <c r="I4" s="259"/>
    </row>
    <row r="5" spans="2:9" ht="27.75" customHeight="1" thickBot="1" x14ac:dyDescent="0.3">
      <c r="B5" s="261" t="s">
        <v>0</v>
      </c>
      <c r="C5" s="262"/>
      <c r="D5" s="262"/>
      <c r="E5" s="262"/>
      <c r="F5" s="262"/>
      <c r="G5" s="262"/>
      <c r="H5" s="263"/>
      <c r="I5" s="259"/>
    </row>
    <row r="6" spans="2:9" ht="15.75" customHeight="1" thickBot="1" x14ac:dyDescent="0.3">
      <c r="B6" s="105" t="s">
        <v>1</v>
      </c>
      <c r="C6" s="266" t="s">
        <v>99</v>
      </c>
      <c r="D6" s="267"/>
      <c r="E6" s="267"/>
      <c r="F6" s="267"/>
      <c r="G6" s="267"/>
      <c r="H6" s="268"/>
      <c r="I6" s="260"/>
    </row>
    <row r="7" spans="2:9" x14ac:dyDescent="0.25">
      <c r="B7" s="247" t="s">
        <v>162</v>
      </c>
      <c r="C7" s="249" t="s">
        <v>163</v>
      </c>
      <c r="D7" s="251" t="s">
        <v>4</v>
      </c>
      <c r="E7" s="252"/>
      <c r="F7" s="252"/>
      <c r="G7" s="252"/>
      <c r="H7" s="252"/>
      <c r="I7" s="253" t="s">
        <v>55</v>
      </c>
    </row>
    <row r="8" spans="2:9" x14ac:dyDescent="0.25">
      <c r="B8" s="248"/>
      <c r="C8" s="250"/>
      <c r="D8" s="33">
        <v>2021</v>
      </c>
      <c r="E8" s="33">
        <v>2022</v>
      </c>
      <c r="F8" s="33">
        <v>2023</v>
      </c>
      <c r="G8" s="33">
        <v>2024</v>
      </c>
      <c r="H8" s="72">
        <v>2025</v>
      </c>
      <c r="I8" s="254"/>
    </row>
    <row r="9" spans="2:9" x14ac:dyDescent="0.25">
      <c r="B9" s="88" t="s">
        <v>145</v>
      </c>
      <c r="C9" s="90" t="s">
        <v>146</v>
      </c>
      <c r="D9" s="35">
        <f>'[1]Piojó 1401-1'!$F$12</f>
        <v>3059.5</v>
      </c>
      <c r="E9" s="35">
        <f>'[1]Piojó 1401-1'!$F$13</f>
        <v>3126.5</v>
      </c>
      <c r="F9" s="35">
        <f>'[1]Piojó 1401-1'!$F$14</f>
        <v>3180</v>
      </c>
      <c r="G9" s="35">
        <f>'[1]Piojó 1401-1'!$F$15</f>
        <v>3223</v>
      </c>
      <c r="H9" s="73">
        <f>'[1]Piojó 1401-1'!$F$16</f>
        <v>3258.5</v>
      </c>
      <c r="I9" s="254"/>
    </row>
    <row r="10" spans="2:9" x14ac:dyDescent="0.25">
      <c r="B10" s="88" t="s">
        <v>14</v>
      </c>
      <c r="C10" s="91" t="s">
        <v>147</v>
      </c>
      <c r="D10" s="37" t="s">
        <v>50</v>
      </c>
      <c r="E10" s="37" t="s">
        <v>50</v>
      </c>
      <c r="F10" s="37" t="s">
        <v>50</v>
      </c>
      <c r="G10" s="37" t="s">
        <v>50</v>
      </c>
      <c r="H10" s="74" t="s">
        <v>50</v>
      </c>
      <c r="I10" s="254"/>
    </row>
    <row r="11" spans="2:9" ht="30" x14ac:dyDescent="0.25">
      <c r="B11" s="87" t="s">
        <v>39</v>
      </c>
      <c r="C11" s="92" t="s">
        <v>148</v>
      </c>
      <c r="D11" s="59">
        <f>'[1]Piojó 1401-1'!$F$31</f>
        <v>4.7567434606481482</v>
      </c>
      <c r="E11" s="59">
        <f>'[1]Piojó 1401-1'!$F$32</f>
        <v>4.8609114004629639</v>
      </c>
      <c r="F11" s="59">
        <f>'[1]Piojó 1401-1'!$F$33</f>
        <v>4.9440902777777778</v>
      </c>
      <c r="G11" s="59">
        <f>'[1]Piojó 1401-1'!$F$34</f>
        <v>5.0109443287037037</v>
      </c>
      <c r="H11" s="75">
        <f>'[1]Piojó 1401-1'!$F$35</f>
        <v>5.0661377893518527</v>
      </c>
      <c r="I11" s="254"/>
    </row>
    <row r="12" spans="2:9" ht="30" x14ac:dyDescent="0.25">
      <c r="B12" s="88" t="s">
        <v>40</v>
      </c>
      <c r="C12" s="121" t="s">
        <v>148</v>
      </c>
      <c r="D12" s="60">
        <v>0</v>
      </c>
      <c r="E12" s="60">
        <v>0</v>
      </c>
      <c r="F12" s="60">
        <v>0</v>
      </c>
      <c r="G12" s="60">
        <v>0</v>
      </c>
      <c r="H12" s="60">
        <v>0</v>
      </c>
      <c r="I12" s="240"/>
    </row>
    <row r="13" spans="2:9" x14ac:dyDescent="0.25">
      <c r="B13" s="87" t="s">
        <v>42</v>
      </c>
      <c r="C13" s="92" t="s">
        <v>149</v>
      </c>
      <c r="D13" s="113">
        <f>SUM(D11:D12)</f>
        <v>4.7567434606481482</v>
      </c>
      <c r="E13" s="113">
        <f t="shared" ref="E13:H13" si="0">SUM(E11:E12)</f>
        <v>4.8609114004629639</v>
      </c>
      <c r="F13" s="113">
        <f t="shared" si="0"/>
        <v>4.9440902777777778</v>
      </c>
      <c r="G13" s="113">
        <f t="shared" si="0"/>
        <v>5.0109443287037037</v>
      </c>
      <c r="H13" s="113">
        <f t="shared" si="0"/>
        <v>5.0661377893518527</v>
      </c>
      <c r="I13" s="87" t="s">
        <v>56</v>
      </c>
    </row>
    <row r="14" spans="2:9" ht="15" customHeight="1" x14ac:dyDescent="0.25">
      <c r="B14" s="107" t="s">
        <v>17</v>
      </c>
      <c r="C14" s="110" t="s">
        <v>58</v>
      </c>
      <c r="D14" s="40">
        <v>250</v>
      </c>
      <c r="E14" s="40">
        <v>250</v>
      </c>
      <c r="F14" s="40">
        <v>250</v>
      </c>
      <c r="G14" s="40">
        <v>250</v>
      </c>
      <c r="H14" s="77">
        <v>250</v>
      </c>
      <c r="I14" s="239" t="s">
        <v>104</v>
      </c>
    </row>
    <row r="15" spans="2:9" x14ac:dyDescent="0.25">
      <c r="B15" s="88" t="s">
        <v>20</v>
      </c>
      <c r="C15" s="93" t="s">
        <v>58</v>
      </c>
      <c r="D15" s="40">
        <v>250</v>
      </c>
      <c r="E15" s="40">
        <v>250</v>
      </c>
      <c r="F15" s="40">
        <v>250</v>
      </c>
      <c r="G15" s="40">
        <v>250</v>
      </c>
      <c r="H15" s="77">
        <v>250</v>
      </c>
      <c r="I15" s="240"/>
    </row>
    <row r="16" spans="2:9" ht="15" customHeight="1" x14ac:dyDescent="0.25">
      <c r="B16" s="107" t="s">
        <v>62</v>
      </c>
      <c r="C16" s="241" t="s">
        <v>150</v>
      </c>
      <c r="D16" s="120">
        <v>90</v>
      </c>
      <c r="E16" s="120">
        <v>90</v>
      </c>
      <c r="F16" s="120">
        <v>90</v>
      </c>
      <c r="G16" s="40">
        <v>90</v>
      </c>
      <c r="H16" s="77">
        <v>90</v>
      </c>
      <c r="I16" s="239" t="s">
        <v>151</v>
      </c>
    </row>
    <row r="17" spans="2:9" x14ac:dyDescent="0.25">
      <c r="B17" s="88" t="s">
        <v>63</v>
      </c>
      <c r="C17" s="242"/>
      <c r="D17" s="120">
        <v>90</v>
      </c>
      <c r="E17" s="120">
        <v>90</v>
      </c>
      <c r="F17" s="120">
        <v>90</v>
      </c>
      <c r="G17" s="40">
        <v>90</v>
      </c>
      <c r="H17" s="77">
        <v>90</v>
      </c>
      <c r="I17" s="240"/>
    </row>
    <row r="18" spans="2:9" ht="30" x14ac:dyDescent="0.25">
      <c r="B18" s="106" t="s">
        <v>57</v>
      </c>
      <c r="C18" s="110" t="s">
        <v>59</v>
      </c>
      <c r="D18" s="111">
        <v>190.64285714285714</v>
      </c>
      <c r="E18" s="111">
        <v>190.64285714285714</v>
      </c>
      <c r="F18" s="111">
        <v>190.64285714285714</v>
      </c>
      <c r="G18" s="111">
        <v>190.64285714285714</v>
      </c>
      <c r="H18" s="111">
        <v>190.64285714285714</v>
      </c>
      <c r="I18" s="239" t="s">
        <v>80</v>
      </c>
    </row>
    <row r="19" spans="2:9" ht="30" x14ac:dyDescent="0.25">
      <c r="B19" s="107" t="s">
        <v>60</v>
      </c>
      <c r="C19" s="110" t="s">
        <v>59</v>
      </c>
      <c r="D19" s="111">
        <v>147.15714285714284</v>
      </c>
      <c r="E19" s="111">
        <v>147.15714285714284</v>
      </c>
      <c r="F19" s="111">
        <v>147.15714285714284</v>
      </c>
      <c r="G19" s="111">
        <v>147.15714285714284</v>
      </c>
      <c r="H19" s="112">
        <v>147.15714285714284</v>
      </c>
      <c r="I19" s="240"/>
    </row>
    <row r="20" spans="2:9" ht="15" customHeight="1" x14ac:dyDescent="0.25">
      <c r="B20" s="97" t="s">
        <v>67</v>
      </c>
      <c r="C20" s="243" t="s">
        <v>152</v>
      </c>
      <c r="D20" s="117">
        <f>D13*D18*0.0864*365*(1-D27/100)</f>
        <v>28598.0798769625</v>
      </c>
      <c r="E20" s="117">
        <f>E13*E18*0.0864*365*(1-E27/100)</f>
        <v>29224.349316987507</v>
      </c>
      <c r="F20" s="117">
        <f>F13*F18*0.0864*365*(1-F27/100)</f>
        <v>29724.430138500004</v>
      </c>
      <c r="G20" s="117">
        <f>G13*G18*0.0864*365*(1-G27/100)</f>
        <v>9037.909277017503</v>
      </c>
      <c r="H20" s="118">
        <f>H13*H18*0.0864*365*(1-H27/100)</f>
        <v>9137.458076066252</v>
      </c>
      <c r="I20" s="245" t="s">
        <v>180</v>
      </c>
    </row>
    <row r="21" spans="2:9" ht="73.5" customHeight="1" x14ac:dyDescent="0.25">
      <c r="B21" s="97" t="s">
        <v>68</v>
      </c>
      <c r="C21" s="244"/>
      <c r="D21" s="115">
        <f>D13*D19*0.0864*365*(1-D28/100)</f>
        <v>22074.846070632499</v>
      </c>
      <c r="E21" s="115">
        <f>E13*E19*0.0864*365*(1-E28/100)</f>
        <v>22558.263193277504</v>
      </c>
      <c r="F21" s="115">
        <f>F13*F19*0.0864*365*(1-F28/100)</f>
        <v>22944.275373299999</v>
      </c>
      <c r="G21" s="115">
        <f>G13*G19*0.0864*365*(1-G28/100)</f>
        <v>6976.3584460515003</v>
      </c>
      <c r="H21" s="116">
        <f>H13*H19*0.0864*365*(1-H28/100)</f>
        <v>7053.200123009251</v>
      </c>
      <c r="I21" s="246"/>
    </row>
    <row r="22" spans="2:9" ht="15" customHeight="1" x14ac:dyDescent="0.25">
      <c r="B22" s="98" t="s">
        <v>67</v>
      </c>
      <c r="C22" s="231" t="s">
        <v>89</v>
      </c>
      <c r="D22" s="63">
        <f>D13*D16*0.0864*365</f>
        <v>13500.779559750001</v>
      </c>
      <c r="E22" s="63">
        <f t="shared" ref="E22:H22" si="1">E13*E16*0.0864*365</f>
        <v>13796.433173250003</v>
      </c>
      <c r="F22" s="63">
        <f t="shared" si="1"/>
        <v>14032.514789999999</v>
      </c>
      <c r="G22" s="63">
        <f t="shared" si="1"/>
        <v>14222.2626315</v>
      </c>
      <c r="H22" s="63">
        <f t="shared" si="1"/>
        <v>14378.914919250003</v>
      </c>
      <c r="I22" s="233" t="s">
        <v>165</v>
      </c>
    </row>
    <row r="23" spans="2:9" ht="75.75" customHeight="1" x14ac:dyDescent="0.25">
      <c r="B23" s="98" t="s">
        <v>68</v>
      </c>
      <c r="C23" s="232"/>
      <c r="D23" s="64">
        <f>D13*D17*0.0864*365</f>
        <v>13500.779559750001</v>
      </c>
      <c r="E23" s="64">
        <f t="shared" ref="E23:H23" si="2">E13*E17*0.0864*365</f>
        <v>13796.433173250003</v>
      </c>
      <c r="F23" s="64">
        <f t="shared" si="2"/>
        <v>14032.514789999999</v>
      </c>
      <c r="G23" s="64">
        <f t="shared" si="2"/>
        <v>14222.2626315</v>
      </c>
      <c r="H23" s="64">
        <f t="shared" si="2"/>
        <v>14378.914919250003</v>
      </c>
      <c r="I23" s="234"/>
    </row>
    <row r="24" spans="2:9" ht="30" x14ac:dyDescent="0.25">
      <c r="B24" s="99" t="s">
        <v>15</v>
      </c>
      <c r="C24" s="94"/>
      <c r="D24" s="42" t="s">
        <v>50</v>
      </c>
      <c r="E24" s="42" t="s">
        <v>50</v>
      </c>
      <c r="F24" s="42" t="s">
        <v>50</v>
      </c>
      <c r="G24" s="42" t="s">
        <v>50</v>
      </c>
      <c r="H24" s="82" t="s">
        <v>50</v>
      </c>
      <c r="I24" s="235" t="s">
        <v>65</v>
      </c>
    </row>
    <row r="25" spans="2:9" ht="30" x14ac:dyDescent="0.25">
      <c r="B25" s="100" t="s">
        <v>16</v>
      </c>
      <c r="C25" s="95"/>
      <c r="D25" s="43" t="s">
        <v>50</v>
      </c>
      <c r="E25" s="43" t="s">
        <v>50</v>
      </c>
      <c r="F25" s="43" t="s">
        <v>50</v>
      </c>
      <c r="G25" s="43" t="s">
        <v>50</v>
      </c>
      <c r="H25" s="83" t="s">
        <v>50</v>
      </c>
      <c r="I25" s="236"/>
    </row>
    <row r="26" spans="2:9" ht="90" x14ac:dyDescent="0.25">
      <c r="B26" s="107" t="s">
        <v>2</v>
      </c>
      <c r="C26" s="96" t="s">
        <v>92</v>
      </c>
      <c r="D26" s="57" t="s">
        <v>50</v>
      </c>
      <c r="E26" s="57" t="s">
        <v>50</v>
      </c>
      <c r="F26" s="57" t="s">
        <v>50</v>
      </c>
      <c r="G26" s="57" t="s">
        <v>50</v>
      </c>
      <c r="H26" s="57" t="s">
        <v>50</v>
      </c>
      <c r="I26" s="88" t="s">
        <v>172</v>
      </c>
    </row>
    <row r="27" spans="2:9" x14ac:dyDescent="0.25">
      <c r="B27" s="88" t="s">
        <v>43</v>
      </c>
      <c r="C27" s="237" t="s">
        <v>52</v>
      </c>
      <c r="D27" s="40">
        <v>0</v>
      </c>
      <c r="E27" s="40">
        <v>0</v>
      </c>
      <c r="F27" s="40">
        <v>0</v>
      </c>
      <c r="G27" s="40">
        <v>70</v>
      </c>
      <c r="H27" s="40">
        <v>70</v>
      </c>
      <c r="I27" s="239" t="s">
        <v>181</v>
      </c>
    </row>
    <row r="28" spans="2:9" ht="51" customHeight="1" x14ac:dyDescent="0.25">
      <c r="B28" s="101" t="s">
        <v>44</v>
      </c>
      <c r="C28" s="238"/>
      <c r="D28" s="40">
        <v>0</v>
      </c>
      <c r="E28" s="40">
        <v>0</v>
      </c>
      <c r="F28" s="40">
        <v>0</v>
      </c>
      <c r="G28" s="40">
        <v>70</v>
      </c>
      <c r="H28" s="40">
        <v>70</v>
      </c>
      <c r="I28" s="240"/>
    </row>
    <row r="29" spans="2:9" ht="30" x14ac:dyDescent="0.25">
      <c r="B29" s="102" t="s">
        <v>155</v>
      </c>
      <c r="C29" s="220" t="s">
        <v>77</v>
      </c>
      <c r="D29" s="46">
        <f>'[1]Piojó 1401-1'!$E$41</f>
        <v>13500.779559749999</v>
      </c>
      <c r="E29" s="46">
        <f>'[1]Piojó 1401-1'!$E$42</f>
        <v>13796.433173250003</v>
      </c>
      <c r="F29" s="46">
        <f>'[1]Piojó 1401-1'!$E$43</f>
        <v>14032.514789999999</v>
      </c>
      <c r="G29" s="46">
        <f>'[1]Piojó 1401-1'!$E$44</f>
        <v>14222.2626315</v>
      </c>
      <c r="H29" s="46">
        <f>'[1]Piojó 1401-1'!$E$45</f>
        <v>14378.914919250003</v>
      </c>
      <c r="I29" s="222" t="s">
        <v>97</v>
      </c>
    </row>
    <row r="30" spans="2:9" ht="30" x14ac:dyDescent="0.25">
      <c r="B30" s="103" t="s">
        <v>157</v>
      </c>
      <c r="C30" s="221"/>
      <c r="D30" s="46">
        <f>'[1]Piojó 1401-1'!$F$41</f>
        <v>13500.779559749999</v>
      </c>
      <c r="E30" s="46">
        <f>'[1]Piojó 1401-1'!$F$42</f>
        <v>13796.433173250003</v>
      </c>
      <c r="F30" s="46">
        <f>'[1]Piojó 1401-1'!$F$43</f>
        <v>14032.514789999999</v>
      </c>
      <c r="G30" s="46">
        <f>'[1]Piojó 1401-1'!$F$44</f>
        <v>14222.2626315</v>
      </c>
      <c r="H30" s="46">
        <f>'[1]Piojó 1401-1'!$F$45</f>
        <v>14378.914919250003</v>
      </c>
      <c r="I30" s="223"/>
    </row>
    <row r="31" spans="2:9" ht="45.75" thickBot="1" x14ac:dyDescent="0.3">
      <c r="B31" s="104" t="s">
        <v>158</v>
      </c>
      <c r="C31" s="119" t="s">
        <v>66</v>
      </c>
      <c r="D31" s="71"/>
      <c r="E31" s="71"/>
      <c r="F31" s="71"/>
      <c r="G31" s="71"/>
      <c r="H31" s="86"/>
      <c r="I31" s="89" t="s">
        <v>174</v>
      </c>
    </row>
    <row r="32" spans="2:9" ht="48" customHeight="1" thickBot="1" x14ac:dyDescent="0.3">
      <c r="B32" s="70" t="s">
        <v>160</v>
      </c>
      <c r="C32" s="224" t="s">
        <v>182</v>
      </c>
      <c r="D32" s="225"/>
      <c r="E32" s="225"/>
      <c r="F32" s="225"/>
      <c r="G32" s="225"/>
      <c r="H32" s="225"/>
      <c r="I32" s="226"/>
    </row>
    <row r="33" spans="2:9" ht="30.75" thickBot="1" x14ac:dyDescent="0.3">
      <c r="B33" s="22" t="s">
        <v>32</v>
      </c>
      <c r="C33" s="227" t="s">
        <v>112</v>
      </c>
      <c r="D33" s="48">
        <f>D20</f>
        <v>28598.0798769625</v>
      </c>
      <c r="E33" s="48">
        <f t="shared" ref="E33:E34" si="3">E20</f>
        <v>29224.349316987507</v>
      </c>
      <c r="F33" s="48">
        <f>F29</f>
        <v>14032.514789999999</v>
      </c>
      <c r="G33" s="48">
        <f t="shared" ref="G33:H33" si="4">G29</f>
        <v>14222.2626315</v>
      </c>
      <c r="H33" s="48">
        <f t="shared" si="4"/>
        <v>14378.914919250003</v>
      </c>
      <c r="I33" s="229" t="s">
        <v>183</v>
      </c>
    </row>
    <row r="34" spans="2:9" ht="74.25" customHeight="1" thickBot="1" x14ac:dyDescent="0.3">
      <c r="B34" s="25" t="s">
        <v>33</v>
      </c>
      <c r="C34" s="228"/>
      <c r="D34" s="49">
        <f>D21</f>
        <v>22074.846070632499</v>
      </c>
      <c r="E34" s="49">
        <f t="shared" si="3"/>
        <v>22558.263193277504</v>
      </c>
      <c r="F34" s="49">
        <f>F30</f>
        <v>14032.514789999999</v>
      </c>
      <c r="G34" s="49">
        <f t="shared" ref="G34:H34" si="5">G30</f>
        <v>14222.2626315</v>
      </c>
      <c r="H34" s="49">
        <f t="shared" si="5"/>
        <v>14378.914919250003</v>
      </c>
      <c r="I34" s="230"/>
    </row>
    <row r="35" spans="2:9" ht="30.75" thickBot="1" x14ac:dyDescent="0.3">
      <c r="B35" s="66" t="s">
        <v>13</v>
      </c>
      <c r="C35" s="67"/>
      <c r="D35" s="68">
        <v>0</v>
      </c>
      <c r="E35" s="68">
        <v>0</v>
      </c>
      <c r="F35" s="68">
        <v>100</v>
      </c>
      <c r="G35" s="68">
        <v>0</v>
      </c>
      <c r="H35" s="68">
        <v>0</v>
      </c>
      <c r="I35" s="69" t="s">
        <v>184</v>
      </c>
    </row>
  </sheetData>
  <mergeCells count="26">
    <mergeCell ref="I2:I6"/>
    <mergeCell ref="B7:B8"/>
    <mergeCell ref="C7:C8"/>
    <mergeCell ref="I7:I12"/>
    <mergeCell ref="I14:I15"/>
    <mergeCell ref="D7:H7"/>
    <mergeCell ref="B2:H2"/>
    <mergeCell ref="B3:H3"/>
    <mergeCell ref="B4:H4"/>
    <mergeCell ref="B5:H5"/>
    <mergeCell ref="C6:H6"/>
    <mergeCell ref="C16:C17"/>
    <mergeCell ref="I16:I17"/>
    <mergeCell ref="I18:I19"/>
    <mergeCell ref="C20:C21"/>
    <mergeCell ref="I20:I21"/>
    <mergeCell ref="C22:C23"/>
    <mergeCell ref="I22:I23"/>
    <mergeCell ref="I24:I25"/>
    <mergeCell ref="C27:C28"/>
    <mergeCell ref="I27:I28"/>
    <mergeCell ref="C29:C30"/>
    <mergeCell ref="I29:I30"/>
    <mergeCell ref="C32:I32"/>
    <mergeCell ref="C33:C34"/>
    <mergeCell ref="I33:I34"/>
  </mergeCell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79998168889431442"/>
  </sheetPr>
  <dimension ref="B1:I35"/>
  <sheetViews>
    <sheetView topLeftCell="A27" workbookViewId="0">
      <selection activeCell="I35" sqref="I35"/>
    </sheetView>
  </sheetViews>
  <sheetFormatPr baseColWidth="10" defaultRowHeight="15" x14ac:dyDescent="0.25"/>
  <cols>
    <col min="2" max="2" width="40.85546875" customWidth="1"/>
    <col min="3" max="3" width="38.5703125" customWidth="1"/>
    <col min="4" max="4" width="11.85546875" bestFit="1" customWidth="1"/>
    <col min="9" max="9" width="51.42578125" customWidth="1"/>
  </cols>
  <sheetData>
    <row r="1" spans="2:9" ht="15.75" thickBot="1" x14ac:dyDescent="0.3"/>
    <row r="2" spans="2:9" ht="15.75" thickBot="1" x14ac:dyDescent="0.3">
      <c r="B2" s="255" t="s">
        <v>6</v>
      </c>
      <c r="C2" s="256"/>
      <c r="D2" s="256"/>
      <c r="E2" s="256"/>
      <c r="F2" s="256"/>
      <c r="G2" s="256"/>
      <c r="H2" s="257"/>
      <c r="I2" s="258" t="s">
        <v>53</v>
      </c>
    </row>
    <row r="3" spans="2:9" ht="30.75" customHeight="1" thickBot="1" x14ac:dyDescent="0.3">
      <c r="B3" s="261" t="s">
        <v>5</v>
      </c>
      <c r="C3" s="262"/>
      <c r="D3" s="262"/>
      <c r="E3" s="262"/>
      <c r="F3" s="262"/>
      <c r="G3" s="262"/>
      <c r="H3" s="263"/>
      <c r="I3" s="259"/>
    </row>
    <row r="4" spans="2:9" ht="30.75" customHeight="1" thickBot="1" x14ac:dyDescent="0.3">
      <c r="B4" s="264" t="s">
        <v>7</v>
      </c>
      <c r="C4" s="265"/>
      <c r="D4" s="265"/>
      <c r="E4" s="265"/>
      <c r="F4" s="265"/>
      <c r="G4" s="265"/>
      <c r="H4" s="265"/>
      <c r="I4" s="259"/>
    </row>
    <row r="5" spans="2:9" ht="27.75" customHeight="1" thickBot="1" x14ac:dyDescent="0.3">
      <c r="B5" s="261" t="s">
        <v>0</v>
      </c>
      <c r="C5" s="262"/>
      <c r="D5" s="262"/>
      <c r="E5" s="262"/>
      <c r="F5" s="262"/>
      <c r="G5" s="262"/>
      <c r="H5" s="263"/>
      <c r="I5" s="259"/>
    </row>
    <row r="6" spans="2:9" ht="15.75" thickBot="1" x14ac:dyDescent="0.3">
      <c r="B6" s="105" t="s">
        <v>1</v>
      </c>
      <c r="C6" s="266" t="s">
        <v>96</v>
      </c>
      <c r="D6" s="267"/>
      <c r="E6" s="267"/>
      <c r="F6" s="267"/>
      <c r="G6" s="267"/>
      <c r="H6" s="268"/>
      <c r="I6" s="260"/>
    </row>
    <row r="7" spans="2:9" x14ac:dyDescent="0.25">
      <c r="B7" s="247" t="s">
        <v>162</v>
      </c>
      <c r="C7" s="249" t="s">
        <v>163</v>
      </c>
      <c r="D7" s="251" t="s">
        <v>4</v>
      </c>
      <c r="E7" s="252"/>
      <c r="F7" s="252"/>
      <c r="G7" s="252"/>
      <c r="H7" s="252"/>
      <c r="I7" s="253" t="s">
        <v>164</v>
      </c>
    </row>
    <row r="8" spans="2:9" x14ac:dyDescent="0.25">
      <c r="B8" s="248"/>
      <c r="C8" s="250"/>
      <c r="D8" s="33">
        <v>2021</v>
      </c>
      <c r="E8" s="33">
        <v>2022</v>
      </c>
      <c r="F8" s="33">
        <v>2023</v>
      </c>
      <c r="G8" s="33">
        <v>2024</v>
      </c>
      <c r="H8" s="72">
        <v>2025</v>
      </c>
      <c r="I8" s="254"/>
    </row>
    <row r="9" spans="2:9" x14ac:dyDescent="0.25">
      <c r="B9" s="88" t="s">
        <v>145</v>
      </c>
      <c r="C9" s="90" t="s">
        <v>146</v>
      </c>
      <c r="D9" s="35">
        <f>'[1]Juan de Acosta 1401-1'!$F$12</f>
        <v>14411.5</v>
      </c>
      <c r="E9" s="35">
        <f>'[1]Juan de Acosta 1401-1'!$F$13</f>
        <v>14672.5</v>
      </c>
      <c r="F9" s="35">
        <f>'[1]Juan de Acosta 1401-1'!$F$14</f>
        <v>14878</v>
      </c>
      <c r="G9" s="35">
        <f>'[1]Juan de Acosta 1401-1'!$F$15</f>
        <v>15067</v>
      </c>
      <c r="H9" s="73">
        <f>'[1]Juan de Acosta 1401-1'!$F$16</f>
        <v>15244</v>
      </c>
      <c r="I9" s="254"/>
    </row>
    <row r="10" spans="2:9" x14ac:dyDescent="0.25">
      <c r="B10" s="88" t="s">
        <v>14</v>
      </c>
      <c r="C10" s="91" t="s">
        <v>147</v>
      </c>
      <c r="D10" s="37" t="s">
        <v>50</v>
      </c>
      <c r="E10" s="37" t="s">
        <v>50</v>
      </c>
      <c r="F10" s="37" t="s">
        <v>50</v>
      </c>
      <c r="G10" s="37" t="s">
        <v>50</v>
      </c>
      <c r="H10" s="74" t="s">
        <v>50</v>
      </c>
      <c r="I10" s="254"/>
    </row>
    <row r="11" spans="2:9" ht="30" x14ac:dyDescent="0.25">
      <c r="B11" s="87" t="s">
        <v>39</v>
      </c>
      <c r="C11" s="92" t="s">
        <v>148</v>
      </c>
      <c r="D11" s="59">
        <f>'[1]Juan de Acosta 1401-1'!$D$31</f>
        <v>22.406212905092595</v>
      </c>
      <c r="E11" s="59">
        <f>'[1]Juan de Acosta 1401-1'!$D$32</f>
        <v>22.812001446759261</v>
      </c>
      <c r="F11" s="59">
        <f>'[1]Juan de Acosta 1401-1'!$D$33</f>
        <v>23.131501620370372</v>
      </c>
      <c r="G11" s="59">
        <f>'[1]Juan de Acosta 1401-1'!$D$34</f>
        <v>23.425348495370372</v>
      </c>
      <c r="H11" s="75">
        <f>'[1]Juan de Acosta 1401-1'!$D$35</f>
        <v>23.700538425925927</v>
      </c>
      <c r="I11" s="254"/>
    </row>
    <row r="12" spans="2:9" ht="30" x14ac:dyDescent="0.25">
      <c r="B12" s="88" t="s">
        <v>40</v>
      </c>
      <c r="C12" s="121" t="s">
        <v>148</v>
      </c>
      <c r="D12" s="60">
        <v>0</v>
      </c>
      <c r="E12" s="60">
        <v>0</v>
      </c>
      <c r="F12" s="60">
        <v>0</v>
      </c>
      <c r="G12" s="60">
        <v>0</v>
      </c>
      <c r="H12" s="60">
        <v>0</v>
      </c>
      <c r="I12" s="240"/>
    </row>
    <row r="13" spans="2:9" x14ac:dyDescent="0.25">
      <c r="B13" s="87" t="s">
        <v>42</v>
      </c>
      <c r="C13" s="92" t="s">
        <v>149</v>
      </c>
      <c r="D13" s="113">
        <f>SUM(D11:D12)</f>
        <v>22.406212905092595</v>
      </c>
      <c r="E13" s="113">
        <f t="shared" ref="E13:H13" si="0">SUM(E11:E12)</f>
        <v>22.812001446759261</v>
      </c>
      <c r="F13" s="113">
        <f t="shared" si="0"/>
        <v>23.131501620370372</v>
      </c>
      <c r="G13" s="113">
        <f t="shared" si="0"/>
        <v>23.425348495370372</v>
      </c>
      <c r="H13" s="113">
        <f t="shared" si="0"/>
        <v>23.700538425925927</v>
      </c>
      <c r="I13" s="87" t="s">
        <v>56</v>
      </c>
    </row>
    <row r="14" spans="2:9" x14ac:dyDescent="0.25">
      <c r="B14" s="107" t="s">
        <v>17</v>
      </c>
      <c r="C14" s="110" t="s">
        <v>58</v>
      </c>
      <c r="D14" s="40">
        <v>250</v>
      </c>
      <c r="E14" s="40">
        <v>250</v>
      </c>
      <c r="F14" s="40">
        <v>250</v>
      </c>
      <c r="G14" s="40">
        <v>250</v>
      </c>
      <c r="H14" s="77">
        <v>250</v>
      </c>
      <c r="I14" s="239" t="s">
        <v>104</v>
      </c>
    </row>
    <row r="15" spans="2:9" x14ac:dyDescent="0.25">
      <c r="B15" s="88" t="s">
        <v>20</v>
      </c>
      <c r="C15" s="93" t="s">
        <v>58</v>
      </c>
      <c r="D15" s="40">
        <v>250</v>
      </c>
      <c r="E15" s="40">
        <v>250</v>
      </c>
      <c r="F15" s="40">
        <v>250</v>
      </c>
      <c r="G15" s="40">
        <v>250</v>
      </c>
      <c r="H15" s="77">
        <v>250</v>
      </c>
      <c r="I15" s="240"/>
    </row>
    <row r="16" spans="2:9" x14ac:dyDescent="0.25">
      <c r="B16" s="107" t="s">
        <v>62</v>
      </c>
      <c r="C16" s="241" t="s">
        <v>150</v>
      </c>
      <c r="D16" s="120">
        <v>90</v>
      </c>
      <c r="E16" s="120">
        <v>90</v>
      </c>
      <c r="F16" s="120">
        <v>90</v>
      </c>
      <c r="G16" s="40">
        <v>90</v>
      </c>
      <c r="H16" s="77">
        <v>90</v>
      </c>
      <c r="I16" s="239" t="s">
        <v>151</v>
      </c>
    </row>
    <row r="17" spans="2:9" x14ac:dyDescent="0.25">
      <c r="B17" s="88" t="s">
        <v>63</v>
      </c>
      <c r="C17" s="242"/>
      <c r="D17" s="120">
        <v>90</v>
      </c>
      <c r="E17" s="120">
        <v>90</v>
      </c>
      <c r="F17" s="120">
        <v>90</v>
      </c>
      <c r="G17" s="40">
        <v>90</v>
      </c>
      <c r="H17" s="77">
        <v>90</v>
      </c>
      <c r="I17" s="240"/>
    </row>
    <row r="18" spans="2:9" ht="30" x14ac:dyDescent="0.25">
      <c r="B18" s="106" t="s">
        <v>57</v>
      </c>
      <c r="C18" s="110" t="s">
        <v>59</v>
      </c>
      <c r="D18" s="111">
        <v>190.64285714285714</v>
      </c>
      <c r="E18" s="111">
        <v>190.64285714285714</v>
      </c>
      <c r="F18" s="111">
        <v>190.64285714285714</v>
      </c>
      <c r="G18" s="111">
        <v>190.64285714285714</v>
      </c>
      <c r="H18" s="111">
        <v>190.64285714285714</v>
      </c>
      <c r="I18" s="239" t="s">
        <v>80</v>
      </c>
    </row>
    <row r="19" spans="2:9" ht="30" x14ac:dyDescent="0.25">
      <c r="B19" s="107" t="s">
        <v>60</v>
      </c>
      <c r="C19" s="110" t="s">
        <v>59</v>
      </c>
      <c r="D19" s="111">
        <v>147.15714285714284</v>
      </c>
      <c r="E19" s="111">
        <v>147.15714285714284</v>
      </c>
      <c r="F19" s="111">
        <v>147.15714285714284</v>
      </c>
      <c r="G19" s="111">
        <v>147.15714285714284</v>
      </c>
      <c r="H19" s="112">
        <v>147.15714285714284</v>
      </c>
      <c r="I19" s="240"/>
    </row>
    <row r="20" spans="2:9" x14ac:dyDescent="0.25">
      <c r="B20" s="97" t="s">
        <v>67</v>
      </c>
      <c r="C20" s="243" t="s">
        <v>152</v>
      </c>
      <c r="D20" s="117">
        <f>D13*D18*0.0864*365*(1-D27/100)</f>
        <v>134708.68708836249</v>
      </c>
      <c r="E20" s="117">
        <f>E13*E18*0.0864*365*(1-E27/100)</f>
        <v>137148.33371293751</v>
      </c>
      <c r="F20" s="117">
        <f>F13*F18*0.0864*365*(1-F27/100)</f>
        <v>41720.761471755002</v>
      </c>
      <c r="G20" s="117">
        <f>G13*G18*0.0864*365*(1-G27/100)</f>
        <v>42250.753669507503</v>
      </c>
      <c r="H20" s="118">
        <f>H13*H18*0.0864*365*(1-H27/100)</f>
        <v>42747.095568990007</v>
      </c>
      <c r="I20" s="245" t="s">
        <v>185</v>
      </c>
    </row>
    <row r="21" spans="2:9" ht="78.75" customHeight="1" x14ac:dyDescent="0.25">
      <c r="B21" s="97" t="s">
        <v>68</v>
      </c>
      <c r="C21" s="244"/>
      <c r="D21" s="115">
        <f>D13*D19*0.0864*365*(1-D28/100)</f>
        <v>103981.5800447525</v>
      </c>
      <c r="E21" s="115">
        <f>E13*E19*0.0864*365*(1-E28/100)</f>
        <v>105864.74226878751</v>
      </c>
      <c r="F21" s="115">
        <f>F13*F19*0.0864*365*(1-F28/100)</f>
        <v>32204.238585279007</v>
      </c>
      <c r="G21" s="115">
        <f>G13*G19*0.0864*365*(1-G28/100)</f>
        <v>32613.339344293501</v>
      </c>
      <c r="H21" s="116">
        <f>H13*H19*0.0864*365*(1-H28/100)</f>
        <v>32996.465451942007</v>
      </c>
      <c r="I21" s="246"/>
    </row>
    <row r="22" spans="2:9" x14ac:dyDescent="0.25">
      <c r="B22" s="98" t="s">
        <v>67</v>
      </c>
      <c r="C22" s="231" t="s">
        <v>89</v>
      </c>
      <c r="D22" s="63">
        <f>D13*D16*0.0864*365</f>
        <v>63594.20971575001</v>
      </c>
      <c r="E22" s="63">
        <f t="shared" ref="E22:H22" si="1">E13*E16*0.0864*365</f>
        <v>64745.934986250009</v>
      </c>
      <c r="F22" s="63">
        <f t="shared" si="1"/>
        <v>65652.753159000014</v>
      </c>
      <c r="G22" s="63">
        <f t="shared" si="1"/>
        <v>66486.761113500004</v>
      </c>
      <c r="H22" s="63">
        <f t="shared" si="1"/>
        <v>67267.81618200001</v>
      </c>
      <c r="I22" s="233" t="s">
        <v>165</v>
      </c>
    </row>
    <row r="23" spans="2:9" ht="103.5" customHeight="1" x14ac:dyDescent="0.25">
      <c r="B23" s="98" t="s">
        <v>68</v>
      </c>
      <c r="C23" s="232"/>
      <c r="D23" s="64">
        <f>D13*D17*0.0864*365</f>
        <v>63594.20971575001</v>
      </c>
      <c r="E23" s="64">
        <f t="shared" ref="E23:H23" si="2">E13*E17*0.0864*365</f>
        <v>64745.934986250009</v>
      </c>
      <c r="F23" s="64">
        <f t="shared" si="2"/>
        <v>65652.753159000014</v>
      </c>
      <c r="G23" s="64">
        <f t="shared" si="2"/>
        <v>66486.761113500004</v>
      </c>
      <c r="H23" s="64">
        <f t="shared" si="2"/>
        <v>67267.81618200001</v>
      </c>
      <c r="I23" s="234"/>
    </row>
    <row r="24" spans="2:9" ht="30" x14ac:dyDescent="0.25">
      <c r="B24" s="99" t="s">
        <v>15</v>
      </c>
      <c r="C24" s="94"/>
      <c r="D24" s="42" t="s">
        <v>50</v>
      </c>
      <c r="E24" s="42" t="s">
        <v>50</v>
      </c>
      <c r="F24" s="42" t="s">
        <v>50</v>
      </c>
      <c r="G24" s="42" t="s">
        <v>50</v>
      </c>
      <c r="H24" s="82" t="s">
        <v>50</v>
      </c>
      <c r="I24" s="235" t="s">
        <v>65</v>
      </c>
    </row>
    <row r="25" spans="2:9" ht="30" x14ac:dyDescent="0.25">
      <c r="B25" s="100" t="s">
        <v>16</v>
      </c>
      <c r="C25" s="95"/>
      <c r="D25" s="43" t="s">
        <v>50</v>
      </c>
      <c r="E25" s="43" t="s">
        <v>50</v>
      </c>
      <c r="F25" s="43" t="s">
        <v>50</v>
      </c>
      <c r="G25" s="43" t="s">
        <v>50</v>
      </c>
      <c r="H25" s="83" t="s">
        <v>50</v>
      </c>
      <c r="I25" s="236"/>
    </row>
    <row r="26" spans="2:9" ht="90" x14ac:dyDescent="0.25">
      <c r="B26" s="107" t="s">
        <v>2</v>
      </c>
      <c r="C26" s="96" t="s">
        <v>92</v>
      </c>
      <c r="D26" s="57">
        <v>1</v>
      </c>
      <c r="E26" s="57">
        <v>1</v>
      </c>
      <c r="F26" s="57">
        <v>1</v>
      </c>
      <c r="G26" s="57">
        <v>1</v>
      </c>
      <c r="H26" s="57">
        <v>1</v>
      </c>
      <c r="I26" s="88" t="s">
        <v>172</v>
      </c>
    </row>
    <row r="27" spans="2:9" x14ac:dyDescent="0.25">
      <c r="B27" s="88" t="s">
        <v>43</v>
      </c>
      <c r="C27" s="237" t="s">
        <v>52</v>
      </c>
      <c r="D27" s="40">
        <v>0</v>
      </c>
      <c r="E27" s="40">
        <v>0</v>
      </c>
      <c r="F27" s="40">
        <v>70</v>
      </c>
      <c r="G27" s="40">
        <v>70</v>
      </c>
      <c r="H27" s="40">
        <v>70</v>
      </c>
      <c r="I27" s="239" t="s">
        <v>186</v>
      </c>
    </row>
    <row r="28" spans="2:9" ht="45" customHeight="1" x14ac:dyDescent="0.25">
      <c r="B28" s="101" t="s">
        <v>44</v>
      </c>
      <c r="C28" s="238"/>
      <c r="D28" s="40">
        <v>0</v>
      </c>
      <c r="E28" s="40">
        <v>0</v>
      </c>
      <c r="F28" s="40">
        <v>70</v>
      </c>
      <c r="G28" s="40">
        <v>70</v>
      </c>
      <c r="H28" s="40">
        <v>70</v>
      </c>
      <c r="I28" s="240"/>
    </row>
    <row r="29" spans="2:9" ht="30" x14ac:dyDescent="0.25">
      <c r="B29" s="102" t="s">
        <v>155</v>
      </c>
      <c r="C29" s="220" t="s">
        <v>77</v>
      </c>
      <c r="D29" s="46">
        <f>'[1]Juan de Acosta 1401-1'!$E$41</f>
        <v>63594.20971575001</v>
      </c>
      <c r="E29" s="46">
        <f>'[1]Juan de Acosta 1401-1'!$E$42</f>
        <v>64745.934986250009</v>
      </c>
      <c r="F29" s="46">
        <f>'[1]Juan de Acosta 1401-1'!$E$43</f>
        <v>65652.753159</v>
      </c>
      <c r="G29" s="46">
        <f>'[1]Juan de Acosta 1401-1'!$E$44</f>
        <v>66486.761113500004</v>
      </c>
      <c r="H29" s="46">
        <f>'[1]Juan de Acosta 1401-1'!$E$45</f>
        <v>67267.81618200001</v>
      </c>
      <c r="I29" s="222" t="s">
        <v>97</v>
      </c>
    </row>
    <row r="30" spans="2:9" ht="30" x14ac:dyDescent="0.25">
      <c r="B30" s="103" t="s">
        <v>157</v>
      </c>
      <c r="C30" s="221"/>
      <c r="D30" s="46">
        <f>'[1]Juan de Acosta 1401-1'!$F$41</f>
        <v>63594.20971575001</v>
      </c>
      <c r="E30" s="46">
        <f>'[1]Juan de Acosta 1401-1'!$F$42</f>
        <v>64745.934986250009</v>
      </c>
      <c r="F30" s="46">
        <f>'[1]Juan de Acosta 1401-1'!$F$43</f>
        <v>65652.753159</v>
      </c>
      <c r="G30" s="46">
        <f>'[1]Juan de Acosta 1401-1'!$F$44</f>
        <v>66486.761113500004</v>
      </c>
      <c r="H30" s="46">
        <f>'[1]Juan de Acosta 1401-1'!$F$45</f>
        <v>67267.81618200001</v>
      </c>
      <c r="I30" s="223"/>
    </row>
    <row r="31" spans="2:9" ht="45.75" thickBot="1" x14ac:dyDescent="0.3">
      <c r="B31" s="104" t="s">
        <v>158</v>
      </c>
      <c r="C31" s="119" t="s">
        <v>66</v>
      </c>
      <c r="D31" s="71"/>
      <c r="E31" s="71"/>
      <c r="F31" s="71"/>
      <c r="G31" s="71"/>
      <c r="H31" s="86"/>
      <c r="I31" s="89" t="s">
        <v>174</v>
      </c>
    </row>
    <row r="32" spans="2:9" ht="42.75" customHeight="1" thickBot="1" x14ac:dyDescent="0.3">
      <c r="B32" s="70" t="s">
        <v>160</v>
      </c>
      <c r="C32" s="224" t="s">
        <v>187</v>
      </c>
      <c r="D32" s="225"/>
      <c r="E32" s="225"/>
      <c r="F32" s="225"/>
      <c r="G32" s="225"/>
      <c r="H32" s="225"/>
      <c r="I32" s="226"/>
    </row>
    <row r="33" spans="2:9" ht="30.75" thickBot="1" x14ac:dyDescent="0.3">
      <c r="B33" s="22" t="s">
        <v>32</v>
      </c>
      <c r="C33" s="227" t="s">
        <v>111</v>
      </c>
      <c r="D33" s="48">
        <f>D20</f>
        <v>134708.68708836249</v>
      </c>
      <c r="E33" s="48">
        <f t="shared" ref="E33:F33" si="3">E20</f>
        <v>137148.33371293751</v>
      </c>
      <c r="F33" s="48">
        <f t="shared" si="3"/>
        <v>41720.761471755002</v>
      </c>
      <c r="G33" s="48">
        <f>G29</f>
        <v>66486.761113500004</v>
      </c>
      <c r="H33" s="48">
        <f>H29</f>
        <v>67267.81618200001</v>
      </c>
      <c r="I33" s="229" t="s">
        <v>188</v>
      </c>
    </row>
    <row r="34" spans="2:9" ht="78.75" customHeight="1" thickBot="1" x14ac:dyDescent="0.3">
      <c r="B34" s="25" t="s">
        <v>33</v>
      </c>
      <c r="C34" s="228"/>
      <c r="D34" s="49">
        <f>D21</f>
        <v>103981.5800447525</v>
      </c>
      <c r="E34" s="49">
        <f t="shared" ref="E34:F34" si="4">E21</f>
        <v>105864.74226878751</v>
      </c>
      <c r="F34" s="49">
        <f t="shared" si="4"/>
        <v>32204.238585279007</v>
      </c>
      <c r="G34" s="49">
        <f>G30</f>
        <v>66486.761113500004</v>
      </c>
      <c r="H34" s="49">
        <f>H30</f>
        <v>67267.81618200001</v>
      </c>
      <c r="I34" s="230"/>
    </row>
    <row r="35" spans="2:9" ht="60.75" thickBot="1" x14ac:dyDescent="0.3">
      <c r="B35" s="66" t="s">
        <v>13</v>
      </c>
      <c r="C35" s="67"/>
      <c r="D35" s="68">
        <v>0</v>
      </c>
      <c r="E35" s="68">
        <v>0</v>
      </c>
      <c r="F35" s="68">
        <v>100</v>
      </c>
      <c r="G35" s="68">
        <v>0</v>
      </c>
      <c r="H35" s="68">
        <v>0</v>
      </c>
      <c r="I35" s="69" t="s">
        <v>189</v>
      </c>
    </row>
  </sheetData>
  <mergeCells count="26">
    <mergeCell ref="I2:I6"/>
    <mergeCell ref="B7:B8"/>
    <mergeCell ref="C7:C8"/>
    <mergeCell ref="I7:I12"/>
    <mergeCell ref="I14:I15"/>
    <mergeCell ref="D7:H7"/>
    <mergeCell ref="B2:H2"/>
    <mergeCell ref="B3:H3"/>
    <mergeCell ref="B4:H4"/>
    <mergeCell ref="B5:H5"/>
    <mergeCell ref="C6:H6"/>
    <mergeCell ref="C16:C17"/>
    <mergeCell ref="I16:I17"/>
    <mergeCell ref="I18:I19"/>
    <mergeCell ref="C20:C21"/>
    <mergeCell ref="I20:I21"/>
    <mergeCell ref="C22:C23"/>
    <mergeCell ref="I22:I23"/>
    <mergeCell ref="I24:I25"/>
    <mergeCell ref="C27:C28"/>
    <mergeCell ref="I27:I28"/>
    <mergeCell ref="C29:C30"/>
    <mergeCell ref="I29:I30"/>
    <mergeCell ref="C32:I32"/>
    <mergeCell ref="C33:C34"/>
    <mergeCell ref="I33:I34"/>
  </mergeCell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499984740745262"/>
  </sheetPr>
  <dimension ref="B1:I35"/>
  <sheetViews>
    <sheetView topLeftCell="A27" workbookViewId="0">
      <selection activeCell="I33" sqref="I33:I34"/>
    </sheetView>
  </sheetViews>
  <sheetFormatPr baseColWidth="10" defaultRowHeight="15" x14ac:dyDescent="0.25"/>
  <cols>
    <col min="2" max="2" width="40.85546875" customWidth="1"/>
    <col min="3" max="3" width="38.5703125" customWidth="1"/>
    <col min="4" max="4" width="11.85546875" bestFit="1" customWidth="1"/>
    <col min="9" max="9" width="51.42578125" customWidth="1"/>
  </cols>
  <sheetData>
    <row r="1" spans="2:9" ht="15.75" thickBot="1" x14ac:dyDescent="0.3"/>
    <row r="2" spans="2:9" ht="15.75" thickBot="1" x14ac:dyDescent="0.3">
      <c r="B2" s="255" t="s">
        <v>6</v>
      </c>
      <c r="C2" s="256"/>
      <c r="D2" s="256"/>
      <c r="E2" s="256"/>
      <c r="F2" s="256"/>
      <c r="G2" s="256"/>
      <c r="H2" s="257"/>
      <c r="I2" s="258" t="s">
        <v>53</v>
      </c>
    </row>
    <row r="3" spans="2:9" ht="30.75" customHeight="1" thickBot="1" x14ac:dyDescent="0.3">
      <c r="B3" s="261" t="s">
        <v>5</v>
      </c>
      <c r="C3" s="262"/>
      <c r="D3" s="262"/>
      <c r="E3" s="262"/>
      <c r="F3" s="262"/>
      <c r="G3" s="262"/>
      <c r="H3" s="263"/>
      <c r="I3" s="259"/>
    </row>
    <row r="4" spans="2:9" ht="30.75" customHeight="1" thickBot="1" x14ac:dyDescent="0.3">
      <c r="B4" s="264" t="s">
        <v>7</v>
      </c>
      <c r="C4" s="265"/>
      <c r="D4" s="265"/>
      <c r="E4" s="265"/>
      <c r="F4" s="265"/>
      <c r="G4" s="265"/>
      <c r="H4" s="265"/>
      <c r="I4" s="259"/>
    </row>
    <row r="5" spans="2:9" ht="27.75" customHeight="1" thickBot="1" x14ac:dyDescent="0.3">
      <c r="B5" s="261" t="s">
        <v>0</v>
      </c>
      <c r="C5" s="262"/>
      <c r="D5" s="262"/>
      <c r="E5" s="262"/>
      <c r="F5" s="262"/>
      <c r="G5" s="262"/>
      <c r="H5" s="263"/>
      <c r="I5" s="259"/>
    </row>
    <row r="6" spans="2:9" ht="15.75" thickBot="1" x14ac:dyDescent="0.3">
      <c r="B6" s="105" t="s">
        <v>1</v>
      </c>
      <c r="C6" s="266" t="s">
        <v>95</v>
      </c>
      <c r="D6" s="267"/>
      <c r="E6" s="267"/>
      <c r="F6" s="267"/>
      <c r="G6" s="267"/>
      <c r="H6" s="268"/>
      <c r="I6" s="260"/>
    </row>
    <row r="7" spans="2:9" x14ac:dyDescent="0.25">
      <c r="B7" s="247" t="s">
        <v>162</v>
      </c>
      <c r="C7" s="249" t="s">
        <v>163</v>
      </c>
      <c r="D7" s="251" t="s">
        <v>4</v>
      </c>
      <c r="E7" s="252"/>
      <c r="F7" s="252"/>
      <c r="G7" s="252"/>
      <c r="H7" s="252"/>
      <c r="I7" s="253" t="s">
        <v>164</v>
      </c>
    </row>
    <row r="8" spans="2:9" x14ac:dyDescent="0.25">
      <c r="B8" s="248"/>
      <c r="C8" s="250"/>
      <c r="D8" s="33">
        <v>2021</v>
      </c>
      <c r="E8" s="33">
        <v>2022</v>
      </c>
      <c r="F8" s="33">
        <v>2023</v>
      </c>
      <c r="G8" s="33">
        <v>2024</v>
      </c>
      <c r="H8" s="72">
        <v>2025</v>
      </c>
      <c r="I8" s="254"/>
    </row>
    <row r="9" spans="2:9" x14ac:dyDescent="0.25">
      <c r="B9" s="88" t="s">
        <v>145</v>
      </c>
      <c r="C9" s="90" t="s">
        <v>146</v>
      </c>
      <c r="D9" s="35">
        <f>'[1]Galapa 1401-1'!$F$12</f>
        <v>62735</v>
      </c>
      <c r="E9" s="35">
        <f>'[1]Galapa 1401-1'!$F$13</f>
        <v>63699.5</v>
      </c>
      <c r="F9" s="35">
        <f>'[1]Galapa 1401-1'!$F$14</f>
        <v>64455.5</v>
      </c>
      <c r="G9" s="35">
        <f>'[1]Galapa 1401-1'!$F$15</f>
        <v>65174.5</v>
      </c>
      <c r="H9" s="73">
        <f>'[1]Galapa 1401-1'!$F$16</f>
        <v>65851</v>
      </c>
      <c r="I9" s="254"/>
    </row>
    <row r="10" spans="2:9" x14ac:dyDescent="0.25">
      <c r="B10" s="88" t="s">
        <v>14</v>
      </c>
      <c r="C10" s="91" t="s">
        <v>147</v>
      </c>
      <c r="D10" s="37" t="s">
        <v>50</v>
      </c>
      <c r="E10" s="37" t="s">
        <v>50</v>
      </c>
      <c r="F10" s="37" t="s">
        <v>50</v>
      </c>
      <c r="G10" s="37" t="s">
        <v>50</v>
      </c>
      <c r="H10" s="74" t="s">
        <v>50</v>
      </c>
      <c r="I10" s="254"/>
    </row>
    <row r="11" spans="2:9" ht="30" x14ac:dyDescent="0.25">
      <c r="B11" s="87" t="s">
        <v>39</v>
      </c>
      <c r="C11" s="92" t="s">
        <v>148</v>
      </c>
      <c r="D11" s="59">
        <f>'[1]Galapa 1401-1'!$D$31</f>
        <v>97.536950810185189</v>
      </c>
      <c r="E11" s="59">
        <f>'[1]Galapa 1401-1'!$D$32</f>
        <v>99.036502719907418</v>
      </c>
      <c r="F11" s="59">
        <f>'[1]Galapa 1401-1'!$D$33</f>
        <v>100.21189021990742</v>
      </c>
      <c r="G11" s="59">
        <f>'[1]Galapa 1401-1'!$D$34</f>
        <v>101.32975214120371</v>
      </c>
      <c r="H11" s="75">
        <f>'[1]Galapa 1401-1'!$D$35</f>
        <v>102.38153738425926</v>
      </c>
      <c r="I11" s="254"/>
    </row>
    <row r="12" spans="2:9" ht="30" x14ac:dyDescent="0.25">
      <c r="B12" s="88" t="s">
        <v>40</v>
      </c>
      <c r="C12" s="121" t="s">
        <v>148</v>
      </c>
      <c r="D12" s="60">
        <f>'[1]Galapa 1401-1'!$E$31</f>
        <v>4.8657559198542808</v>
      </c>
      <c r="E12" s="60">
        <f>'[1]Galapa 1401-1'!$E$32</f>
        <v>5.0117285974499097</v>
      </c>
      <c r="F12" s="60">
        <f>'[1]Galapa 1401-1'!$E$33</f>
        <v>5.162080455373407</v>
      </c>
      <c r="G12" s="60">
        <f>'[1]Galapa 1401-1'!$E$34</f>
        <v>5.3169428690346097</v>
      </c>
      <c r="H12" s="60">
        <f>'[1]Galapa 1401-1'!$E$35</f>
        <v>5.4764511551056483</v>
      </c>
      <c r="I12" s="240"/>
    </row>
    <row r="13" spans="2:9" x14ac:dyDescent="0.25">
      <c r="B13" s="87" t="s">
        <v>42</v>
      </c>
      <c r="C13" s="92" t="s">
        <v>149</v>
      </c>
      <c r="D13" s="113">
        <f>SUM(D11:D12)</f>
        <v>102.40270673003947</v>
      </c>
      <c r="E13" s="113">
        <f t="shared" ref="E13:H13" si="0">SUM(E11:E12)</f>
        <v>104.04823131735733</v>
      </c>
      <c r="F13" s="113">
        <f t="shared" si="0"/>
        <v>105.37397067528083</v>
      </c>
      <c r="G13" s="113">
        <f t="shared" si="0"/>
        <v>106.64669501023832</v>
      </c>
      <c r="H13" s="113">
        <f t="shared" si="0"/>
        <v>107.85798853936491</v>
      </c>
      <c r="I13" s="87" t="s">
        <v>56</v>
      </c>
    </row>
    <row r="14" spans="2:9" x14ac:dyDescent="0.25">
      <c r="B14" s="107" t="s">
        <v>17</v>
      </c>
      <c r="C14" s="110" t="s">
        <v>58</v>
      </c>
      <c r="D14" s="40">
        <v>250</v>
      </c>
      <c r="E14" s="40">
        <v>250</v>
      </c>
      <c r="F14" s="40">
        <v>250</v>
      </c>
      <c r="G14" s="40">
        <v>250</v>
      </c>
      <c r="H14" s="77">
        <v>250</v>
      </c>
      <c r="I14" s="239" t="s">
        <v>104</v>
      </c>
    </row>
    <row r="15" spans="2:9" x14ac:dyDescent="0.25">
      <c r="B15" s="88" t="s">
        <v>20</v>
      </c>
      <c r="C15" s="93" t="s">
        <v>58</v>
      </c>
      <c r="D15" s="40">
        <v>250</v>
      </c>
      <c r="E15" s="40">
        <v>250</v>
      </c>
      <c r="F15" s="40">
        <v>250</v>
      </c>
      <c r="G15" s="40">
        <v>250</v>
      </c>
      <c r="H15" s="77">
        <v>250</v>
      </c>
      <c r="I15" s="240"/>
    </row>
    <row r="16" spans="2:9" x14ac:dyDescent="0.25">
      <c r="B16" s="107" t="s">
        <v>62</v>
      </c>
      <c r="C16" s="241" t="s">
        <v>150</v>
      </c>
      <c r="D16" s="120">
        <v>90</v>
      </c>
      <c r="E16" s="120">
        <v>90</v>
      </c>
      <c r="F16" s="120">
        <v>90</v>
      </c>
      <c r="G16" s="40">
        <v>90</v>
      </c>
      <c r="H16" s="77">
        <v>90</v>
      </c>
      <c r="I16" s="239" t="s">
        <v>151</v>
      </c>
    </row>
    <row r="17" spans="2:9" x14ac:dyDescent="0.25">
      <c r="B17" s="88" t="s">
        <v>63</v>
      </c>
      <c r="C17" s="242"/>
      <c r="D17" s="120">
        <v>90</v>
      </c>
      <c r="E17" s="120">
        <v>90</v>
      </c>
      <c r="F17" s="120">
        <v>90</v>
      </c>
      <c r="G17" s="40">
        <v>90</v>
      </c>
      <c r="H17" s="77">
        <v>90</v>
      </c>
      <c r="I17" s="240"/>
    </row>
    <row r="18" spans="2:9" ht="30" x14ac:dyDescent="0.25">
      <c r="B18" s="106" t="s">
        <v>57</v>
      </c>
      <c r="C18" s="110" t="s">
        <v>59</v>
      </c>
      <c r="D18" s="111">
        <v>190.64285714285714</v>
      </c>
      <c r="E18" s="111">
        <v>190.64285714285714</v>
      </c>
      <c r="F18" s="111">
        <v>190.64285714285714</v>
      </c>
      <c r="G18" s="111">
        <v>190.64285714285714</v>
      </c>
      <c r="H18" s="111">
        <v>190.64285714285714</v>
      </c>
      <c r="I18" s="239" t="s">
        <v>80</v>
      </c>
    </row>
    <row r="19" spans="2:9" ht="30" x14ac:dyDescent="0.25">
      <c r="B19" s="107" t="s">
        <v>60</v>
      </c>
      <c r="C19" s="110" t="s">
        <v>59</v>
      </c>
      <c r="D19" s="111">
        <v>147.15714285714284</v>
      </c>
      <c r="E19" s="111">
        <v>147.15714285714284</v>
      </c>
      <c r="F19" s="111">
        <v>147.15714285714284</v>
      </c>
      <c r="G19" s="111">
        <v>147.15714285714284</v>
      </c>
      <c r="H19" s="112">
        <v>147.15714285714284</v>
      </c>
      <c r="I19" s="240"/>
    </row>
    <row r="20" spans="2:9" x14ac:dyDescent="0.25">
      <c r="B20" s="97" t="s">
        <v>67</v>
      </c>
      <c r="C20" s="243" t="s">
        <v>152</v>
      </c>
      <c r="D20" s="117">
        <f>D13*D18*0.0864*365*(1-D27/100)</f>
        <v>153914.16474895398</v>
      </c>
      <c r="E20" s="117">
        <f>E13*E18*0.0864*365*(1-E27/100)</f>
        <v>156387.43474853103</v>
      </c>
      <c r="F20" s="117">
        <f>F13*F18*0.0864*365*(1-F27/100)</f>
        <v>158380.05850297477</v>
      </c>
      <c r="G20" s="117">
        <f>G13*G18*0.0864*365*(1-G27/100)</f>
        <v>160292.99917833277</v>
      </c>
      <c r="H20" s="118">
        <f>H13*H18*0.0864*365*(1-H27/100)</f>
        <v>162113.6076149127</v>
      </c>
      <c r="I20" s="245" t="s">
        <v>190</v>
      </c>
    </row>
    <row r="21" spans="2:9" ht="75" customHeight="1" x14ac:dyDescent="0.25">
      <c r="B21" s="97" t="s">
        <v>68</v>
      </c>
      <c r="C21" s="244"/>
      <c r="D21" s="115">
        <f>D13*D19*0.0864*365*(1-D28/100)</f>
        <v>95045.024268503519</v>
      </c>
      <c r="E21" s="115">
        <f>E13*E19*0.0864*365*(1-E28/100)</f>
        <v>96572.317143176784</v>
      </c>
      <c r="F21" s="115">
        <f>F13*F19*0.0864*365*(1-F28/100)</f>
        <v>97802.801507029901</v>
      </c>
      <c r="G21" s="115">
        <f>G13*G19*0.0864*365*(1-G28/100)</f>
        <v>98984.080002158444</v>
      </c>
      <c r="H21" s="116">
        <f>H13*H19*0.0864*365*(1-H28/100)</f>
        <v>100108.34152363974</v>
      </c>
      <c r="I21" s="246"/>
    </row>
    <row r="22" spans="2:9" x14ac:dyDescent="0.25">
      <c r="B22" s="98" t="s">
        <v>67</v>
      </c>
      <c r="C22" s="231" t="s">
        <v>89</v>
      </c>
      <c r="D22" s="63">
        <f>D13*D16*0.0864*365</f>
        <v>290643.4583494672</v>
      </c>
      <c r="E22" s="63">
        <f t="shared" ref="E22:H22" si="1">E13*E16*0.0864*365</f>
        <v>295313.85205417627</v>
      </c>
      <c r="F22" s="63">
        <f t="shared" si="1"/>
        <v>299076.61852940905</v>
      </c>
      <c r="G22" s="63">
        <f t="shared" si="1"/>
        <v>302688.91564585885</v>
      </c>
      <c r="H22" s="63">
        <f t="shared" si="1"/>
        <v>306126.85739196709</v>
      </c>
      <c r="I22" s="233" t="s">
        <v>165</v>
      </c>
    </row>
    <row r="23" spans="2:9" ht="100.5" customHeight="1" x14ac:dyDescent="0.25">
      <c r="B23" s="98" t="s">
        <v>68</v>
      </c>
      <c r="C23" s="232"/>
      <c r="D23" s="64">
        <f>D13*D17*0.0864*365</f>
        <v>290643.4583494672</v>
      </c>
      <c r="E23" s="64">
        <f t="shared" ref="E23:H23" si="2">E13*E17*0.0864*365</f>
        <v>295313.85205417627</v>
      </c>
      <c r="F23" s="64">
        <f t="shared" si="2"/>
        <v>299076.61852940905</v>
      </c>
      <c r="G23" s="64">
        <f t="shared" si="2"/>
        <v>302688.91564585885</v>
      </c>
      <c r="H23" s="64">
        <f t="shared" si="2"/>
        <v>306126.85739196709</v>
      </c>
      <c r="I23" s="234"/>
    </row>
    <row r="24" spans="2:9" ht="30" x14ac:dyDescent="0.25">
      <c r="B24" s="99" t="s">
        <v>15</v>
      </c>
      <c r="C24" s="94"/>
      <c r="D24" s="42" t="s">
        <v>50</v>
      </c>
      <c r="E24" s="42" t="s">
        <v>50</v>
      </c>
      <c r="F24" s="42" t="s">
        <v>50</v>
      </c>
      <c r="G24" s="42" t="s">
        <v>50</v>
      </c>
      <c r="H24" s="82" t="s">
        <v>50</v>
      </c>
      <c r="I24" s="235" t="s">
        <v>65</v>
      </c>
    </row>
    <row r="25" spans="2:9" ht="30" x14ac:dyDescent="0.25">
      <c r="B25" s="100" t="s">
        <v>16</v>
      </c>
      <c r="C25" s="95"/>
      <c r="D25" s="43" t="s">
        <v>50</v>
      </c>
      <c r="E25" s="43" t="s">
        <v>50</v>
      </c>
      <c r="F25" s="43" t="s">
        <v>50</v>
      </c>
      <c r="G25" s="43" t="s">
        <v>50</v>
      </c>
      <c r="H25" s="83" t="s">
        <v>50</v>
      </c>
      <c r="I25" s="236"/>
    </row>
    <row r="26" spans="2:9" ht="45" x14ac:dyDescent="0.25">
      <c r="B26" s="107" t="s">
        <v>2</v>
      </c>
      <c r="C26" s="96" t="s">
        <v>92</v>
      </c>
      <c r="D26" s="57">
        <v>1</v>
      </c>
      <c r="E26" s="57">
        <v>1</v>
      </c>
      <c r="F26" s="57">
        <v>1</v>
      </c>
      <c r="G26" s="57">
        <v>1</v>
      </c>
      <c r="H26" s="57">
        <v>1</v>
      </c>
      <c r="I26" s="88" t="s">
        <v>154</v>
      </c>
    </row>
    <row r="27" spans="2:9" x14ac:dyDescent="0.25">
      <c r="B27" s="88" t="s">
        <v>43</v>
      </c>
      <c r="C27" s="237" t="s">
        <v>52</v>
      </c>
      <c r="D27" s="40">
        <v>75</v>
      </c>
      <c r="E27" s="40">
        <v>75</v>
      </c>
      <c r="F27" s="40">
        <v>75</v>
      </c>
      <c r="G27" s="40">
        <v>75</v>
      </c>
      <c r="H27" s="40">
        <v>75</v>
      </c>
      <c r="I27" s="239" t="s">
        <v>88</v>
      </c>
    </row>
    <row r="28" spans="2:9" x14ac:dyDescent="0.25">
      <c r="B28" s="101" t="s">
        <v>44</v>
      </c>
      <c r="C28" s="238"/>
      <c r="D28" s="40">
        <v>80</v>
      </c>
      <c r="E28" s="40">
        <v>80</v>
      </c>
      <c r="F28" s="40">
        <v>80</v>
      </c>
      <c r="G28" s="40">
        <v>80</v>
      </c>
      <c r="H28" s="40">
        <v>80</v>
      </c>
      <c r="I28" s="240"/>
    </row>
    <row r="29" spans="2:9" ht="30" x14ac:dyDescent="0.25">
      <c r="B29" s="102" t="s">
        <v>155</v>
      </c>
      <c r="C29" s="220" t="s">
        <v>77</v>
      </c>
      <c r="D29" s="46">
        <f>'[1]Galapa 1401-1'!$E$41</f>
        <v>290643.4583494672</v>
      </c>
      <c r="E29" s="46">
        <f>'[1]Galapa 1401-1'!$E$42</f>
        <v>295313.85205417627</v>
      </c>
      <c r="F29" s="46">
        <f>'[1]Galapa 1401-1'!$E$43</f>
        <v>299076.61852940905</v>
      </c>
      <c r="G29" s="46">
        <f>'[1]Galapa 1401-1'!$E$44</f>
        <v>302688.9156458588</v>
      </c>
      <c r="H29" s="46">
        <f>'[1]Galapa 1401-1'!$E$45</f>
        <v>306126.85739196703</v>
      </c>
      <c r="I29" s="222" t="s">
        <v>191</v>
      </c>
    </row>
    <row r="30" spans="2:9" ht="93.75" customHeight="1" x14ac:dyDescent="0.25">
      <c r="B30" s="103" t="s">
        <v>157</v>
      </c>
      <c r="C30" s="221"/>
      <c r="D30" s="46">
        <f>'[1]Galapa 1401-1'!$F$41</f>
        <v>290643.4583494672</v>
      </c>
      <c r="E30" s="46">
        <f>'[1]Galapa 1401-1'!$F$42</f>
        <v>295313.85205417627</v>
      </c>
      <c r="F30" s="46">
        <f>'[1]Galapa 1401-1'!$F$43</f>
        <v>299076.61852940905</v>
      </c>
      <c r="G30" s="46">
        <f>'[1]Galapa 1401-1'!$F$44</f>
        <v>302688.9156458588</v>
      </c>
      <c r="H30" s="46">
        <f>'[1]Galapa 1401-1'!$F$45</f>
        <v>306126.85739196703</v>
      </c>
      <c r="I30" s="223"/>
    </row>
    <row r="31" spans="2:9" ht="45.75" thickBot="1" x14ac:dyDescent="0.3">
      <c r="B31" s="104" t="s">
        <v>158</v>
      </c>
      <c r="C31" s="65" t="s">
        <v>66</v>
      </c>
      <c r="D31" s="71"/>
      <c r="E31" s="71"/>
      <c r="F31" s="71"/>
      <c r="G31" s="71"/>
      <c r="H31" s="86"/>
      <c r="I31" s="89" t="s">
        <v>159</v>
      </c>
    </row>
    <row r="32" spans="2:9" ht="42" customHeight="1" thickBot="1" x14ac:dyDescent="0.3">
      <c r="B32" s="70" t="s">
        <v>160</v>
      </c>
      <c r="C32" s="224" t="s">
        <v>192</v>
      </c>
      <c r="D32" s="225"/>
      <c r="E32" s="225"/>
      <c r="F32" s="225"/>
      <c r="G32" s="225"/>
      <c r="H32" s="225"/>
      <c r="I32" s="226"/>
    </row>
    <row r="33" spans="2:9" ht="30.75" thickBot="1" x14ac:dyDescent="0.3">
      <c r="B33" s="22" t="s">
        <v>32</v>
      </c>
      <c r="C33" s="227" t="s">
        <v>112</v>
      </c>
      <c r="D33" s="48">
        <f>D22</f>
        <v>290643.4583494672</v>
      </c>
      <c r="E33" s="48">
        <f t="shared" ref="E33:F34" si="3">E22</f>
        <v>295313.85205417627</v>
      </c>
      <c r="F33" s="48">
        <f t="shared" si="3"/>
        <v>299076.61852940905</v>
      </c>
      <c r="G33" s="48">
        <f>G20</f>
        <v>160292.99917833277</v>
      </c>
      <c r="H33" s="48">
        <f>H20</f>
        <v>162113.6076149127</v>
      </c>
      <c r="I33" s="229" t="s">
        <v>193</v>
      </c>
    </row>
    <row r="34" spans="2:9" ht="94.5" customHeight="1" thickBot="1" x14ac:dyDescent="0.3">
      <c r="B34" s="25" t="s">
        <v>33</v>
      </c>
      <c r="C34" s="228"/>
      <c r="D34" s="49">
        <f>D23</f>
        <v>290643.4583494672</v>
      </c>
      <c r="E34" s="49">
        <f t="shared" si="3"/>
        <v>295313.85205417627</v>
      </c>
      <c r="F34" s="49">
        <f t="shared" si="3"/>
        <v>299076.61852940905</v>
      </c>
      <c r="G34" s="49">
        <f>G21</f>
        <v>98984.080002158444</v>
      </c>
      <c r="H34" s="49">
        <f>H21</f>
        <v>100108.34152363974</v>
      </c>
      <c r="I34" s="230"/>
    </row>
    <row r="35" spans="2:9" ht="30.75" thickBot="1" x14ac:dyDescent="0.3">
      <c r="B35" s="66" t="s">
        <v>13</v>
      </c>
      <c r="C35" s="67"/>
      <c r="D35" s="68">
        <v>100</v>
      </c>
      <c r="E35" s="68">
        <v>0</v>
      </c>
      <c r="F35" s="68">
        <v>0</v>
      </c>
      <c r="G35" s="68">
        <v>0</v>
      </c>
      <c r="H35" s="68">
        <v>0</v>
      </c>
      <c r="I35" s="69" t="s">
        <v>93</v>
      </c>
    </row>
  </sheetData>
  <mergeCells count="26">
    <mergeCell ref="C29:C30"/>
    <mergeCell ref="I29:I30"/>
    <mergeCell ref="C32:I32"/>
    <mergeCell ref="C33:C34"/>
    <mergeCell ref="I33:I34"/>
    <mergeCell ref="C22:C23"/>
    <mergeCell ref="I22:I23"/>
    <mergeCell ref="I24:I25"/>
    <mergeCell ref="C27:C28"/>
    <mergeCell ref="I27:I28"/>
    <mergeCell ref="C16:C17"/>
    <mergeCell ref="I16:I17"/>
    <mergeCell ref="I18:I19"/>
    <mergeCell ref="C20:C21"/>
    <mergeCell ref="I20:I21"/>
    <mergeCell ref="I2:I6"/>
    <mergeCell ref="B7:B8"/>
    <mergeCell ref="C7:C8"/>
    <mergeCell ref="I7:I12"/>
    <mergeCell ref="I14:I15"/>
    <mergeCell ref="D7:H7"/>
    <mergeCell ref="B2:H2"/>
    <mergeCell ref="B3:H3"/>
    <mergeCell ref="B4:H4"/>
    <mergeCell ref="B5:H5"/>
    <mergeCell ref="C6:H6"/>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249977111117893"/>
  </sheetPr>
  <dimension ref="B1:I35"/>
  <sheetViews>
    <sheetView topLeftCell="A17" workbookViewId="0">
      <selection activeCell="B25" sqref="B25"/>
    </sheetView>
  </sheetViews>
  <sheetFormatPr baseColWidth="10" defaultRowHeight="15" x14ac:dyDescent="0.25"/>
  <cols>
    <col min="2" max="2" width="40.85546875" customWidth="1"/>
    <col min="3" max="3" width="38.5703125" customWidth="1"/>
    <col min="4" max="4" width="11.85546875" bestFit="1" customWidth="1"/>
    <col min="9" max="9" width="51.42578125" customWidth="1"/>
  </cols>
  <sheetData>
    <row r="1" spans="2:9" ht="15.75" thickBot="1" x14ac:dyDescent="0.3"/>
    <row r="2" spans="2:9" ht="15.75" thickBot="1" x14ac:dyDescent="0.3">
      <c r="B2" s="255" t="s">
        <v>6</v>
      </c>
      <c r="C2" s="256"/>
      <c r="D2" s="256"/>
      <c r="E2" s="256"/>
      <c r="F2" s="256"/>
      <c r="G2" s="256"/>
      <c r="H2" s="257"/>
      <c r="I2" s="258" t="s">
        <v>53</v>
      </c>
    </row>
    <row r="3" spans="2:9" ht="30.75" customHeight="1" thickBot="1" x14ac:dyDescent="0.3">
      <c r="B3" s="261" t="s">
        <v>5</v>
      </c>
      <c r="C3" s="262"/>
      <c r="D3" s="262"/>
      <c r="E3" s="262"/>
      <c r="F3" s="262"/>
      <c r="G3" s="262"/>
      <c r="H3" s="263"/>
      <c r="I3" s="259"/>
    </row>
    <row r="4" spans="2:9" ht="30.75" customHeight="1" thickBot="1" x14ac:dyDescent="0.3">
      <c r="B4" s="264" t="s">
        <v>7</v>
      </c>
      <c r="C4" s="265"/>
      <c r="D4" s="265"/>
      <c r="E4" s="265"/>
      <c r="F4" s="265"/>
      <c r="G4" s="265"/>
      <c r="H4" s="265"/>
      <c r="I4" s="259"/>
    </row>
    <row r="5" spans="2:9" ht="27.75" customHeight="1" thickBot="1" x14ac:dyDescent="0.3">
      <c r="B5" s="261" t="s">
        <v>0</v>
      </c>
      <c r="C5" s="262"/>
      <c r="D5" s="262"/>
      <c r="E5" s="262"/>
      <c r="F5" s="262"/>
      <c r="G5" s="262"/>
      <c r="H5" s="263"/>
      <c r="I5" s="259"/>
    </row>
    <row r="6" spans="2:9" ht="15.75" thickBot="1" x14ac:dyDescent="0.3">
      <c r="B6" s="105" t="s">
        <v>1</v>
      </c>
      <c r="C6" s="266" t="s">
        <v>94</v>
      </c>
      <c r="D6" s="267"/>
      <c r="E6" s="267"/>
      <c r="F6" s="267"/>
      <c r="G6" s="267"/>
      <c r="H6" s="268"/>
      <c r="I6" s="260"/>
    </row>
    <row r="7" spans="2:9" x14ac:dyDescent="0.25">
      <c r="B7" s="247" t="s">
        <v>162</v>
      </c>
      <c r="C7" s="249" t="s">
        <v>163</v>
      </c>
      <c r="D7" s="251" t="s">
        <v>4</v>
      </c>
      <c r="E7" s="252"/>
      <c r="F7" s="252"/>
      <c r="G7" s="252"/>
      <c r="H7" s="252"/>
      <c r="I7" s="253" t="s">
        <v>164</v>
      </c>
    </row>
    <row r="8" spans="2:9" x14ac:dyDescent="0.25">
      <c r="B8" s="248"/>
      <c r="C8" s="250"/>
      <c r="D8" s="33">
        <v>2021</v>
      </c>
      <c r="E8" s="33">
        <v>2022</v>
      </c>
      <c r="F8" s="33">
        <v>2023</v>
      </c>
      <c r="G8" s="33">
        <v>2024</v>
      </c>
      <c r="H8" s="72">
        <v>2025</v>
      </c>
      <c r="I8" s="254"/>
    </row>
    <row r="9" spans="2:9" x14ac:dyDescent="0.25">
      <c r="B9" s="88" t="s">
        <v>145</v>
      </c>
      <c r="C9" s="90" t="s">
        <v>146</v>
      </c>
      <c r="D9" s="35">
        <f>'[1]Tubará 1401-1'!$D$12</f>
        <v>9546.5</v>
      </c>
      <c r="E9" s="35">
        <f>'[1]Tubará 1401-1'!$D$13</f>
        <v>9739.5</v>
      </c>
      <c r="F9" s="35">
        <f>'[1]Tubará 1401-1'!$D$14</f>
        <v>9891.5</v>
      </c>
      <c r="G9" s="35">
        <f>'[1]Tubará 1401-1'!$D$15</f>
        <v>10021</v>
      </c>
      <c r="H9" s="73">
        <f>'[1]Tubará 1401-1'!$D$16</f>
        <v>10134</v>
      </c>
      <c r="I9" s="254"/>
    </row>
    <row r="10" spans="2:9" x14ac:dyDescent="0.25">
      <c r="B10" s="88" t="s">
        <v>14</v>
      </c>
      <c r="C10" s="91" t="s">
        <v>147</v>
      </c>
      <c r="D10" s="37" t="s">
        <v>50</v>
      </c>
      <c r="E10" s="37" t="s">
        <v>50</v>
      </c>
      <c r="F10" s="37" t="s">
        <v>50</v>
      </c>
      <c r="G10" s="37" t="s">
        <v>50</v>
      </c>
      <c r="H10" s="74" t="s">
        <v>50</v>
      </c>
      <c r="I10" s="254"/>
    </row>
    <row r="11" spans="2:9" ht="30" x14ac:dyDescent="0.25">
      <c r="B11" s="87" t="s">
        <v>39</v>
      </c>
      <c r="C11" s="92" t="s">
        <v>148</v>
      </c>
      <c r="D11" s="59">
        <f>'[1]Tubará 1401-1'!$D$31</f>
        <v>14.842376678240743</v>
      </c>
      <c r="E11" s="59">
        <f>'[1]Tubará 1401-1'!$D$32</f>
        <v>15.142442534722225</v>
      </c>
      <c r="F11" s="59">
        <f>'[1]Tubará 1401-1'!$D$33</f>
        <v>15.378763831018519</v>
      </c>
      <c r="G11" s="59">
        <f>'[1]Tubará 1401-1'!$D$34</f>
        <v>15.580103356481484</v>
      </c>
      <c r="H11" s="75">
        <f>'[1]Tubará 1401-1'!$D$35</f>
        <v>15.755789583333335</v>
      </c>
      <c r="I11" s="254"/>
    </row>
    <row r="12" spans="2:9" ht="30" x14ac:dyDescent="0.25">
      <c r="B12" s="88" t="s">
        <v>40</v>
      </c>
      <c r="C12" s="90" t="s">
        <v>148</v>
      </c>
      <c r="D12" s="60">
        <f>'[1]Tubará 1401-1'!$E$31</f>
        <v>0.16155510018214936</v>
      </c>
      <c r="E12" s="60">
        <f>'[1]Tubará 1401-1'!$E$32</f>
        <v>0.16640175318761385</v>
      </c>
      <c r="F12" s="60">
        <f>'[1]Tubará 1401-1'!$E$33</f>
        <v>0.17139380578324229</v>
      </c>
      <c r="G12" s="60">
        <f>'[1]Tubará 1401-1'!$E$34</f>
        <v>0.17653561995673955</v>
      </c>
      <c r="H12" s="60">
        <f>'[1]Tubará 1401-1'!$E$35</f>
        <v>0.18183168855544174</v>
      </c>
      <c r="I12" s="240"/>
    </row>
    <row r="13" spans="2:9" x14ac:dyDescent="0.25">
      <c r="B13" s="87" t="s">
        <v>42</v>
      </c>
      <c r="C13" s="92" t="s">
        <v>149</v>
      </c>
      <c r="D13" s="113">
        <f>SUM(D11:D12)</f>
        <v>15.003931778422892</v>
      </c>
      <c r="E13" s="113">
        <f t="shared" ref="E13:H13" si="0">SUM(E11:E12)</f>
        <v>15.308844287909839</v>
      </c>
      <c r="F13" s="113">
        <f t="shared" si="0"/>
        <v>15.550157636801762</v>
      </c>
      <c r="G13" s="113">
        <f t="shared" si="0"/>
        <v>15.756638976438223</v>
      </c>
      <c r="H13" s="113">
        <f t="shared" si="0"/>
        <v>15.937621271888776</v>
      </c>
      <c r="I13" s="87" t="s">
        <v>56</v>
      </c>
    </row>
    <row r="14" spans="2:9" x14ac:dyDescent="0.25">
      <c r="B14" s="107" t="s">
        <v>17</v>
      </c>
      <c r="C14" s="110" t="s">
        <v>58</v>
      </c>
      <c r="D14" s="40">
        <v>250</v>
      </c>
      <c r="E14" s="40">
        <v>250</v>
      </c>
      <c r="F14" s="40">
        <v>250</v>
      </c>
      <c r="G14" s="40">
        <v>250</v>
      </c>
      <c r="H14" s="77">
        <v>250</v>
      </c>
      <c r="I14" s="239" t="s">
        <v>104</v>
      </c>
    </row>
    <row r="15" spans="2:9" x14ac:dyDescent="0.25">
      <c r="B15" s="88" t="s">
        <v>20</v>
      </c>
      <c r="C15" s="93" t="s">
        <v>58</v>
      </c>
      <c r="D15" s="40">
        <v>250</v>
      </c>
      <c r="E15" s="40">
        <v>250</v>
      </c>
      <c r="F15" s="40">
        <v>250</v>
      </c>
      <c r="G15" s="40">
        <v>250</v>
      </c>
      <c r="H15" s="77">
        <v>250</v>
      </c>
      <c r="I15" s="240"/>
    </row>
    <row r="16" spans="2:9" x14ac:dyDescent="0.25">
      <c r="B16" s="107" t="s">
        <v>62</v>
      </c>
      <c r="C16" s="241" t="s">
        <v>150</v>
      </c>
      <c r="D16" s="120">
        <v>90</v>
      </c>
      <c r="E16" s="120">
        <v>90</v>
      </c>
      <c r="F16" s="120">
        <v>90</v>
      </c>
      <c r="G16" s="40">
        <v>90</v>
      </c>
      <c r="H16" s="77">
        <v>90</v>
      </c>
      <c r="I16" s="239" t="s">
        <v>151</v>
      </c>
    </row>
    <row r="17" spans="2:9" x14ac:dyDescent="0.25">
      <c r="B17" s="88" t="s">
        <v>63</v>
      </c>
      <c r="C17" s="242"/>
      <c r="D17" s="120">
        <v>90</v>
      </c>
      <c r="E17" s="120">
        <v>90</v>
      </c>
      <c r="F17" s="120">
        <v>90</v>
      </c>
      <c r="G17" s="40">
        <v>90</v>
      </c>
      <c r="H17" s="77">
        <v>90</v>
      </c>
      <c r="I17" s="240"/>
    </row>
    <row r="18" spans="2:9" ht="30" x14ac:dyDescent="0.25">
      <c r="B18" s="106" t="s">
        <v>57</v>
      </c>
      <c r="C18" s="110" t="s">
        <v>59</v>
      </c>
      <c r="D18" s="111">
        <v>190.64285714285714</v>
      </c>
      <c r="E18" s="111">
        <v>190.64285714285714</v>
      </c>
      <c r="F18" s="111">
        <v>190.64285714285714</v>
      </c>
      <c r="G18" s="111">
        <v>190.64285714285714</v>
      </c>
      <c r="H18" s="111">
        <v>190.64285714285714</v>
      </c>
      <c r="I18" s="239" t="s">
        <v>80</v>
      </c>
    </row>
    <row r="19" spans="2:9" ht="30" x14ac:dyDescent="0.25">
      <c r="B19" s="107" t="s">
        <v>60</v>
      </c>
      <c r="C19" s="110" t="s">
        <v>59</v>
      </c>
      <c r="D19" s="111">
        <v>147.15714285714284</v>
      </c>
      <c r="E19" s="111">
        <v>147.15714285714284</v>
      </c>
      <c r="F19" s="111">
        <v>147.15714285714284</v>
      </c>
      <c r="G19" s="111">
        <v>147.15714285714284</v>
      </c>
      <c r="H19" s="112">
        <v>147.15714285714284</v>
      </c>
      <c r="I19" s="240"/>
    </row>
    <row r="20" spans="2:9" x14ac:dyDescent="0.25">
      <c r="B20" s="97" t="s">
        <v>67</v>
      </c>
      <c r="C20" s="243" t="s">
        <v>152</v>
      </c>
      <c r="D20" s="117">
        <f>D13*D18*0.0864*365*(1-D27/100)</f>
        <v>24355.44056868882</v>
      </c>
      <c r="E20" s="117">
        <f>E13*E18*0.0864*365*(1-E27/100)</f>
        <v>24850.396065229987</v>
      </c>
      <c r="F20" s="117">
        <f>F13*F18*0.0864*365*(1-F27/100)</f>
        <v>25242.112917463386</v>
      </c>
      <c r="G20" s="117">
        <f>G13*G18*0.0864*365*(1-G27/100)</f>
        <v>25577.287994924831</v>
      </c>
      <c r="H20" s="118">
        <f>H13*H18*0.0864*365*(1-H27/100)</f>
        <v>25871.071224942563</v>
      </c>
      <c r="I20" s="245" t="s">
        <v>194</v>
      </c>
    </row>
    <row r="21" spans="2:9" ht="60.75" customHeight="1" x14ac:dyDescent="0.25">
      <c r="B21" s="97" t="s">
        <v>68</v>
      </c>
      <c r="C21" s="244"/>
      <c r="D21" s="115">
        <f>D13*D19*0.0864*365*(1-D28/100)</f>
        <v>13925.892249729455</v>
      </c>
      <c r="E21" s="115">
        <f>E13*E19*0.0864*365*(1-E28/100)</f>
        <v>14208.896652536476</v>
      </c>
      <c r="F21" s="115">
        <f>F13*F19*0.0864*365*(1-F28/100)</f>
        <v>14432.871524237971</v>
      </c>
      <c r="G21" s="115">
        <f>G13*G19*0.0864*365*(1-G28/100)</f>
        <v>14624.517082870299</v>
      </c>
      <c r="H21" s="116">
        <f>H13*H19*0.0864*365*(1-H28/100)</f>
        <v>14792.495715589597</v>
      </c>
      <c r="I21" s="246"/>
    </row>
    <row r="22" spans="2:9" x14ac:dyDescent="0.25">
      <c r="B22" s="98" t="s">
        <v>67</v>
      </c>
      <c r="C22" s="231" t="s">
        <v>89</v>
      </c>
      <c r="D22" s="63">
        <f>D13*D16*0.0864*365</f>
        <v>42584.759330790992</v>
      </c>
      <c r="E22" s="63">
        <f t="shared" ref="E22:H22" si="1">E13*E16*0.0864*365</f>
        <v>43450.174211717225</v>
      </c>
      <c r="F22" s="63">
        <f t="shared" si="1"/>
        <v>44135.079411076236</v>
      </c>
      <c r="G22" s="63">
        <f t="shared" si="1"/>
        <v>44721.123008486029</v>
      </c>
      <c r="H22" s="63">
        <f t="shared" si="1"/>
        <v>45234.794198725605</v>
      </c>
      <c r="I22" s="233" t="s">
        <v>165</v>
      </c>
    </row>
    <row r="23" spans="2:9" ht="105.75" customHeight="1" x14ac:dyDescent="0.25">
      <c r="B23" s="98" t="s">
        <v>68</v>
      </c>
      <c r="C23" s="232"/>
      <c r="D23" s="64">
        <f>D13*D17*0.0864*365</f>
        <v>42584.759330790992</v>
      </c>
      <c r="E23" s="64">
        <f t="shared" ref="E23:H23" si="2">E13*E17*0.0864*365</f>
        <v>43450.174211717225</v>
      </c>
      <c r="F23" s="64">
        <f t="shared" si="2"/>
        <v>44135.079411076236</v>
      </c>
      <c r="G23" s="64">
        <f t="shared" si="2"/>
        <v>44721.123008486029</v>
      </c>
      <c r="H23" s="64">
        <f t="shared" si="2"/>
        <v>45234.794198725605</v>
      </c>
      <c r="I23" s="234"/>
    </row>
    <row r="24" spans="2:9" ht="30" x14ac:dyDescent="0.25">
      <c r="B24" s="99" t="s">
        <v>15</v>
      </c>
      <c r="C24" s="94"/>
      <c r="D24" s="42" t="s">
        <v>50</v>
      </c>
      <c r="E24" s="42" t="s">
        <v>50</v>
      </c>
      <c r="F24" s="42" t="s">
        <v>50</v>
      </c>
      <c r="G24" s="42" t="s">
        <v>50</v>
      </c>
      <c r="H24" s="82" t="s">
        <v>50</v>
      </c>
      <c r="I24" s="235" t="s">
        <v>65</v>
      </c>
    </row>
    <row r="25" spans="2:9" ht="30" x14ac:dyDescent="0.25">
      <c r="B25" s="100" t="s">
        <v>16</v>
      </c>
      <c r="C25" s="95"/>
      <c r="D25" s="43" t="s">
        <v>50</v>
      </c>
      <c r="E25" s="43" t="s">
        <v>50</v>
      </c>
      <c r="F25" s="43" t="s">
        <v>50</v>
      </c>
      <c r="G25" s="43" t="s">
        <v>50</v>
      </c>
      <c r="H25" s="83" t="s">
        <v>50</v>
      </c>
      <c r="I25" s="236"/>
    </row>
    <row r="26" spans="2:9" ht="45" x14ac:dyDescent="0.25">
      <c r="B26" s="107" t="s">
        <v>2</v>
      </c>
      <c r="C26" s="96" t="s">
        <v>92</v>
      </c>
      <c r="D26" s="57">
        <v>1</v>
      </c>
      <c r="E26" s="57">
        <v>1</v>
      </c>
      <c r="F26" s="57">
        <v>1</v>
      </c>
      <c r="G26" s="57">
        <v>1</v>
      </c>
      <c r="H26" s="57">
        <v>1</v>
      </c>
      <c r="I26" s="88" t="s">
        <v>154</v>
      </c>
    </row>
    <row r="27" spans="2:9" x14ac:dyDescent="0.25">
      <c r="B27" s="88" t="s">
        <v>43</v>
      </c>
      <c r="C27" s="237" t="s">
        <v>52</v>
      </c>
      <c r="D27" s="40">
        <v>73</v>
      </c>
      <c r="E27" s="40">
        <v>73</v>
      </c>
      <c r="F27" s="40">
        <v>73</v>
      </c>
      <c r="G27" s="120">
        <v>73</v>
      </c>
      <c r="H27" s="120">
        <v>73</v>
      </c>
      <c r="I27" s="239" t="s">
        <v>88</v>
      </c>
    </row>
    <row r="28" spans="2:9" x14ac:dyDescent="0.25">
      <c r="B28" s="101" t="s">
        <v>44</v>
      </c>
      <c r="C28" s="238"/>
      <c r="D28" s="40">
        <v>80</v>
      </c>
      <c r="E28" s="40">
        <v>80</v>
      </c>
      <c r="F28" s="40">
        <v>80</v>
      </c>
      <c r="G28" s="120">
        <v>80</v>
      </c>
      <c r="H28" s="120">
        <v>80</v>
      </c>
      <c r="I28" s="240"/>
    </row>
    <row r="29" spans="2:9" ht="57.75" customHeight="1" x14ac:dyDescent="0.25">
      <c r="B29" s="102" t="s">
        <v>155</v>
      </c>
      <c r="C29" s="220" t="s">
        <v>77</v>
      </c>
      <c r="D29" s="46">
        <f>'[1]Tubará 1401-1'!$E$41</f>
        <v>42584.759330790992</v>
      </c>
      <c r="E29" s="46">
        <f>'[1]Tubará 1401-1'!$E$42</f>
        <v>43450.174211717218</v>
      </c>
      <c r="F29" s="46">
        <f>'[1]Tubará 1401-1'!$F$43</f>
        <v>44135.079411076236</v>
      </c>
      <c r="G29" s="46">
        <f>'[1]Tubará 1401-1'!$F$44</f>
        <v>44721.123008486022</v>
      </c>
      <c r="H29" s="46">
        <f>'[1]Tubará 1401-1'!$E$45</f>
        <v>45234.794198725605</v>
      </c>
      <c r="I29" s="222" t="s">
        <v>191</v>
      </c>
    </row>
    <row r="30" spans="2:9" ht="76.5" customHeight="1" x14ac:dyDescent="0.25">
      <c r="B30" s="103" t="s">
        <v>157</v>
      </c>
      <c r="C30" s="221"/>
      <c r="D30" s="46">
        <f>'[1]Tubará 1401-1'!$F$41</f>
        <v>42584.759330790992</v>
      </c>
      <c r="E30" s="46">
        <f>'[1]Tubará 1401-1'!$F$42</f>
        <v>43450.174211717218</v>
      </c>
      <c r="F30" s="46">
        <f>'[1]Tubará 1401-1'!$F$43</f>
        <v>44135.079411076236</v>
      </c>
      <c r="G30" s="46">
        <f>'[1]Tubará 1401-1'!$F$44</f>
        <v>44721.123008486022</v>
      </c>
      <c r="H30" s="46">
        <f>'[1]Tubará 1401-1'!$F$45</f>
        <v>45234.794198725605</v>
      </c>
      <c r="I30" s="223"/>
    </row>
    <row r="31" spans="2:9" ht="45.75" thickBot="1" x14ac:dyDescent="0.3">
      <c r="B31" s="104" t="s">
        <v>158</v>
      </c>
      <c r="C31" s="65" t="s">
        <v>66</v>
      </c>
      <c r="D31" s="71"/>
      <c r="E31" s="71"/>
      <c r="F31" s="71"/>
      <c r="G31" s="71"/>
      <c r="H31" s="86"/>
      <c r="I31" s="89" t="s">
        <v>159</v>
      </c>
    </row>
    <row r="32" spans="2:9" ht="37.5" customHeight="1" thickBot="1" x14ac:dyDescent="0.3">
      <c r="B32" s="70" t="s">
        <v>160</v>
      </c>
      <c r="C32" s="224" t="s">
        <v>195</v>
      </c>
      <c r="D32" s="225"/>
      <c r="E32" s="225"/>
      <c r="F32" s="225"/>
      <c r="G32" s="225"/>
      <c r="H32" s="225"/>
      <c r="I32" s="226"/>
    </row>
    <row r="33" spans="2:9" ht="30.75" thickBot="1" x14ac:dyDescent="0.3">
      <c r="B33" s="22" t="s">
        <v>32</v>
      </c>
      <c r="C33" s="227" t="s">
        <v>111</v>
      </c>
      <c r="D33" s="48">
        <f>D22</f>
        <v>42584.759330790992</v>
      </c>
      <c r="E33" s="48">
        <f t="shared" ref="E33:F34" si="3">E22</f>
        <v>43450.174211717225</v>
      </c>
      <c r="F33" s="48">
        <f t="shared" si="3"/>
        <v>44135.079411076236</v>
      </c>
      <c r="G33" s="48">
        <f>G20</f>
        <v>25577.287994924831</v>
      </c>
      <c r="H33" s="48">
        <f>H20</f>
        <v>25871.071224942563</v>
      </c>
      <c r="I33" s="229" t="s">
        <v>193</v>
      </c>
    </row>
    <row r="34" spans="2:9" ht="93.75" customHeight="1" thickBot="1" x14ac:dyDescent="0.3">
      <c r="B34" s="25" t="s">
        <v>33</v>
      </c>
      <c r="C34" s="228"/>
      <c r="D34" s="49">
        <f>D23</f>
        <v>42584.759330790992</v>
      </c>
      <c r="E34" s="49">
        <f t="shared" si="3"/>
        <v>43450.174211717225</v>
      </c>
      <c r="F34" s="49">
        <f t="shared" si="3"/>
        <v>44135.079411076236</v>
      </c>
      <c r="G34" s="49">
        <f>G21</f>
        <v>14624.517082870299</v>
      </c>
      <c r="H34" s="49">
        <f>H21</f>
        <v>14792.495715589597</v>
      </c>
      <c r="I34" s="230"/>
    </row>
    <row r="35" spans="2:9" ht="30.75" thickBot="1" x14ac:dyDescent="0.3">
      <c r="B35" s="66" t="s">
        <v>13</v>
      </c>
      <c r="C35" s="67"/>
      <c r="D35" s="68">
        <v>100</v>
      </c>
      <c r="E35" s="68">
        <v>0</v>
      </c>
      <c r="F35" s="68">
        <v>0</v>
      </c>
      <c r="G35" s="68">
        <v>0</v>
      </c>
      <c r="H35" s="68">
        <v>0</v>
      </c>
      <c r="I35" s="69" t="s">
        <v>93</v>
      </c>
    </row>
  </sheetData>
  <mergeCells count="26">
    <mergeCell ref="C29:C30"/>
    <mergeCell ref="I29:I30"/>
    <mergeCell ref="C32:I32"/>
    <mergeCell ref="C33:C34"/>
    <mergeCell ref="I33:I34"/>
    <mergeCell ref="C22:C23"/>
    <mergeCell ref="I22:I23"/>
    <mergeCell ref="I24:I25"/>
    <mergeCell ref="C27:C28"/>
    <mergeCell ref="I27:I28"/>
    <mergeCell ref="C16:C17"/>
    <mergeCell ref="I16:I17"/>
    <mergeCell ref="I18:I19"/>
    <mergeCell ref="C20:C21"/>
    <mergeCell ref="I20:I21"/>
    <mergeCell ref="I2:I6"/>
    <mergeCell ref="B7:B8"/>
    <mergeCell ref="C7:C8"/>
    <mergeCell ref="I7:I12"/>
    <mergeCell ref="I14:I15"/>
    <mergeCell ref="D7:H7"/>
    <mergeCell ref="B2:H2"/>
    <mergeCell ref="B3:H3"/>
    <mergeCell ref="B4:H4"/>
    <mergeCell ref="B5:H5"/>
    <mergeCell ref="C6:H6"/>
  </mergeCells>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sheetPr>
  <dimension ref="B1:I35"/>
  <sheetViews>
    <sheetView topLeftCell="A17" workbookViewId="0">
      <selection activeCell="B25" sqref="B25"/>
    </sheetView>
  </sheetViews>
  <sheetFormatPr baseColWidth="10" defaultRowHeight="15" x14ac:dyDescent="0.25"/>
  <cols>
    <col min="2" max="2" width="40.85546875" customWidth="1"/>
    <col min="3" max="3" width="38.5703125" customWidth="1"/>
    <col min="4" max="4" width="11.85546875" bestFit="1" customWidth="1"/>
    <col min="9" max="9" width="51.42578125" customWidth="1"/>
  </cols>
  <sheetData>
    <row r="1" spans="2:9" ht="15.75" thickBot="1" x14ac:dyDescent="0.3"/>
    <row r="2" spans="2:9" ht="15.75" customHeight="1" thickBot="1" x14ac:dyDescent="0.3">
      <c r="B2" s="255" t="s">
        <v>6</v>
      </c>
      <c r="C2" s="256"/>
      <c r="D2" s="256"/>
      <c r="E2" s="256"/>
      <c r="F2" s="256"/>
      <c r="G2" s="256"/>
      <c r="H2" s="257"/>
      <c r="I2" s="258" t="s">
        <v>53</v>
      </c>
    </row>
    <row r="3" spans="2:9" ht="30.75" customHeight="1" thickBot="1" x14ac:dyDescent="0.3">
      <c r="B3" s="261" t="s">
        <v>5</v>
      </c>
      <c r="C3" s="262"/>
      <c r="D3" s="262"/>
      <c r="E3" s="262"/>
      <c r="F3" s="262"/>
      <c r="G3" s="262"/>
      <c r="H3" s="263"/>
      <c r="I3" s="259"/>
    </row>
    <row r="4" spans="2:9" ht="30.75" customHeight="1" thickBot="1" x14ac:dyDescent="0.3">
      <c r="B4" s="264" t="s">
        <v>7</v>
      </c>
      <c r="C4" s="265"/>
      <c r="D4" s="265"/>
      <c r="E4" s="265"/>
      <c r="F4" s="265"/>
      <c r="G4" s="265"/>
      <c r="H4" s="265"/>
      <c r="I4" s="259"/>
    </row>
    <row r="5" spans="2:9" ht="27.75" customHeight="1" thickBot="1" x14ac:dyDescent="0.3">
      <c r="B5" s="261" t="s">
        <v>0</v>
      </c>
      <c r="C5" s="262"/>
      <c r="D5" s="262"/>
      <c r="E5" s="262"/>
      <c r="F5" s="262"/>
      <c r="G5" s="262"/>
      <c r="H5" s="263"/>
      <c r="I5" s="259"/>
    </row>
    <row r="6" spans="2:9" ht="15.75" thickBot="1" x14ac:dyDescent="0.3">
      <c r="B6" s="105" t="s">
        <v>1</v>
      </c>
      <c r="C6" s="266" t="s">
        <v>91</v>
      </c>
      <c r="D6" s="267"/>
      <c r="E6" s="267"/>
      <c r="F6" s="267"/>
      <c r="G6" s="267"/>
      <c r="H6" s="268"/>
      <c r="I6" s="260"/>
    </row>
    <row r="7" spans="2:9" ht="15" customHeight="1" x14ac:dyDescent="0.25">
      <c r="B7" s="247" t="s">
        <v>162</v>
      </c>
      <c r="C7" s="249" t="s">
        <v>163</v>
      </c>
      <c r="D7" s="251" t="s">
        <v>4</v>
      </c>
      <c r="E7" s="252"/>
      <c r="F7" s="252"/>
      <c r="G7" s="252"/>
      <c r="H7" s="252"/>
      <c r="I7" s="253" t="s">
        <v>164</v>
      </c>
    </row>
    <row r="8" spans="2:9" x14ac:dyDescent="0.25">
      <c r="B8" s="248"/>
      <c r="C8" s="250"/>
      <c r="D8" s="33">
        <v>2021</v>
      </c>
      <c r="E8" s="33">
        <v>2022</v>
      </c>
      <c r="F8" s="33">
        <v>2023</v>
      </c>
      <c r="G8" s="33">
        <v>2024</v>
      </c>
      <c r="H8" s="72">
        <v>2025</v>
      </c>
      <c r="I8" s="254"/>
    </row>
    <row r="9" spans="2:9" x14ac:dyDescent="0.25">
      <c r="B9" s="88" t="s">
        <v>145</v>
      </c>
      <c r="C9" s="90" t="s">
        <v>146</v>
      </c>
      <c r="D9" s="35">
        <f>'[1]P Colombia 2904-1'!$D$12</f>
        <v>47396</v>
      </c>
      <c r="E9" s="35">
        <f>'[1]P Colombia 2904-1'!$D$13</f>
        <v>48141.5</v>
      </c>
      <c r="F9" s="35">
        <f>'[1]P Colombia 2904-1'!$D$14</f>
        <v>48725.5</v>
      </c>
      <c r="G9" s="35">
        <f>'[1]P Colombia 2904-1'!$D$15</f>
        <v>49267</v>
      </c>
      <c r="H9" s="73">
        <f>'[1]P Colombia 2904-1'!$D$16</f>
        <v>49782</v>
      </c>
      <c r="I9" s="254"/>
    </row>
    <row r="10" spans="2:9" x14ac:dyDescent="0.25">
      <c r="B10" s="88" t="s">
        <v>14</v>
      </c>
      <c r="C10" s="91" t="s">
        <v>147</v>
      </c>
      <c r="D10" s="37" t="s">
        <v>50</v>
      </c>
      <c r="E10" s="37" t="s">
        <v>50</v>
      </c>
      <c r="F10" s="37" t="s">
        <v>50</v>
      </c>
      <c r="G10" s="37" t="s">
        <v>50</v>
      </c>
      <c r="H10" s="74" t="s">
        <v>50</v>
      </c>
      <c r="I10" s="254"/>
    </row>
    <row r="11" spans="2:9" ht="30" x14ac:dyDescent="0.25">
      <c r="B11" s="87" t="s">
        <v>39</v>
      </c>
      <c r="C11" s="92" t="s">
        <v>148</v>
      </c>
      <c r="D11" s="59">
        <f>'[1]P Colombia 2904-1'!$D$31</f>
        <v>22.554602425540526</v>
      </c>
      <c r="E11" s="59">
        <f>'[1]P Colombia 2904-1'!$D$32</f>
        <v>22.909367724473778</v>
      </c>
      <c r="F11" s="59">
        <f>'[1]P Colombia 2904-1'!$D$33</f>
        <v>23.187279105529473</v>
      </c>
      <c r="G11" s="59">
        <f>'[1]P Colombia 2904-1'!$D$34</f>
        <v>23.44496577135423</v>
      </c>
      <c r="H11" s="75">
        <f>'[1]P Colombia 2904-1'!$D$35</f>
        <v>23.690041732387932</v>
      </c>
      <c r="I11" s="254"/>
    </row>
    <row r="12" spans="2:9" ht="30" x14ac:dyDescent="0.25">
      <c r="B12" s="88" t="s">
        <v>40</v>
      </c>
      <c r="C12" s="90" t="s">
        <v>148</v>
      </c>
      <c r="D12" s="60">
        <f>'[1]P Colombia 2904-1'!$E$31</f>
        <v>10.09165528233151</v>
      </c>
      <c r="E12" s="60">
        <f>'[1]P Colombia 2904-1'!$E$32</f>
        <v>10.394404940801456</v>
      </c>
      <c r="F12" s="60">
        <f>'[1]P Colombia 2904-1'!$E$33</f>
        <v>10.7062370890255</v>
      </c>
      <c r="G12" s="60">
        <f>'[1]P Colombia 2904-1'!$E$34</f>
        <v>11.027424201696265</v>
      </c>
      <c r="H12" s="60">
        <f>'[1]P Colombia 2904-1'!$E$35</f>
        <v>11.358246927747153</v>
      </c>
      <c r="I12" s="240"/>
    </row>
    <row r="13" spans="2:9" x14ac:dyDescent="0.25">
      <c r="B13" s="87" t="s">
        <v>42</v>
      </c>
      <c r="C13" s="92" t="s">
        <v>149</v>
      </c>
      <c r="D13" s="113">
        <f>SUM(D11:D12)</f>
        <v>32.646257707872039</v>
      </c>
      <c r="E13" s="113">
        <f t="shared" ref="E13:H13" si="0">SUM(E11:E12)</f>
        <v>33.303772665275233</v>
      </c>
      <c r="F13" s="113">
        <f t="shared" si="0"/>
        <v>33.893516194554977</v>
      </c>
      <c r="G13" s="113">
        <f t="shared" si="0"/>
        <v>34.472389973050497</v>
      </c>
      <c r="H13" s="113">
        <f t="shared" si="0"/>
        <v>35.048288660135086</v>
      </c>
      <c r="I13" s="87" t="s">
        <v>56</v>
      </c>
    </row>
    <row r="14" spans="2:9" ht="60" customHeight="1" x14ac:dyDescent="0.25">
      <c r="B14" s="107" t="s">
        <v>17</v>
      </c>
      <c r="C14" s="110" t="s">
        <v>58</v>
      </c>
      <c r="D14" s="40">
        <v>250</v>
      </c>
      <c r="E14" s="40">
        <v>250</v>
      </c>
      <c r="F14" s="40">
        <v>250</v>
      </c>
      <c r="G14" s="40">
        <v>250</v>
      </c>
      <c r="H14" s="77">
        <v>250</v>
      </c>
      <c r="I14" s="239" t="s">
        <v>104</v>
      </c>
    </row>
    <row r="15" spans="2:9" x14ac:dyDescent="0.25">
      <c r="B15" s="88" t="s">
        <v>20</v>
      </c>
      <c r="C15" s="93" t="s">
        <v>58</v>
      </c>
      <c r="D15" s="40">
        <v>250</v>
      </c>
      <c r="E15" s="40">
        <v>250</v>
      </c>
      <c r="F15" s="40">
        <v>250</v>
      </c>
      <c r="G15" s="40">
        <v>250</v>
      </c>
      <c r="H15" s="77">
        <v>250</v>
      </c>
      <c r="I15" s="240"/>
    </row>
    <row r="16" spans="2:9" ht="45" customHeight="1" x14ac:dyDescent="0.25">
      <c r="B16" s="107" t="s">
        <v>62</v>
      </c>
      <c r="C16" s="241" t="s">
        <v>150</v>
      </c>
      <c r="D16" s="40">
        <v>90</v>
      </c>
      <c r="E16" s="40">
        <v>90</v>
      </c>
      <c r="F16" s="40">
        <v>90</v>
      </c>
      <c r="G16" s="40">
        <v>90</v>
      </c>
      <c r="H16" s="77">
        <v>90</v>
      </c>
      <c r="I16" s="239" t="s">
        <v>151</v>
      </c>
    </row>
    <row r="17" spans="2:9" x14ac:dyDescent="0.25">
      <c r="B17" s="88" t="s">
        <v>63</v>
      </c>
      <c r="C17" s="242"/>
      <c r="D17" s="40">
        <v>90</v>
      </c>
      <c r="E17" s="40">
        <v>90</v>
      </c>
      <c r="F17" s="40">
        <v>90</v>
      </c>
      <c r="G17" s="40">
        <v>90</v>
      </c>
      <c r="H17" s="77">
        <v>90</v>
      </c>
      <c r="I17" s="240"/>
    </row>
    <row r="18" spans="2:9" ht="30" x14ac:dyDescent="0.25">
      <c r="B18" s="106" t="s">
        <v>57</v>
      </c>
      <c r="C18" s="110" t="s">
        <v>59</v>
      </c>
      <c r="D18" s="111">
        <v>190.64285714285714</v>
      </c>
      <c r="E18" s="111">
        <v>190.64285714285714</v>
      </c>
      <c r="F18" s="111">
        <v>190.64285714285714</v>
      </c>
      <c r="G18" s="111">
        <v>190.64285714285714</v>
      </c>
      <c r="H18" s="111">
        <v>190.64285714285714</v>
      </c>
      <c r="I18" s="239" t="s">
        <v>80</v>
      </c>
    </row>
    <row r="19" spans="2:9" ht="30" x14ac:dyDescent="0.25">
      <c r="B19" s="107" t="s">
        <v>60</v>
      </c>
      <c r="C19" s="110" t="s">
        <v>59</v>
      </c>
      <c r="D19" s="111">
        <v>147.15714285714284</v>
      </c>
      <c r="E19" s="111">
        <v>147.15714285714284</v>
      </c>
      <c r="F19" s="111">
        <v>147.15714285714284</v>
      </c>
      <c r="G19" s="111">
        <v>147.15714285714284</v>
      </c>
      <c r="H19" s="112">
        <v>147.15714285714284</v>
      </c>
      <c r="I19" s="240"/>
    </row>
    <row r="20" spans="2:9" ht="75" customHeight="1" x14ac:dyDescent="0.25">
      <c r="B20" s="97" t="s">
        <v>67</v>
      </c>
      <c r="C20" s="243" t="s">
        <v>152</v>
      </c>
      <c r="D20" s="117">
        <f>D13*D18*0.0864*365*(1-D27/100)</f>
        <v>39254.599006119752</v>
      </c>
      <c r="E20" s="117">
        <f>E13*E18*0.0864*365*(1-E27/100)</f>
        <v>40045.209869525526</v>
      </c>
      <c r="F20" s="117">
        <f>F13*F18*0.0864*365*(1-F27/100)</f>
        <v>40754.330834185072</v>
      </c>
      <c r="G20" s="117">
        <f>G13*G18*0.0864*365*(1-G27/100)</f>
        <v>41450.381764534737</v>
      </c>
      <c r="H20" s="118">
        <f>H13*H18*0.0864*365*(1-H27/100)</f>
        <v>42142.855377649823</v>
      </c>
      <c r="I20" s="245" t="s">
        <v>199</v>
      </c>
    </row>
    <row r="21" spans="2:9" x14ac:dyDescent="0.25">
      <c r="B21" s="97" t="s">
        <v>68</v>
      </c>
      <c r="C21" s="244"/>
      <c r="D21" s="115">
        <f>D13*D19*0.0864*365*(1-D28/100)</f>
        <v>48480.974071132507</v>
      </c>
      <c r="E21" s="115">
        <f>E13*E19*0.0864*365*(1-E28/100)</f>
        <v>49457.409590526186</v>
      </c>
      <c r="F21" s="115">
        <f>F13*F19*0.0864*365*(1-F28/100)</f>
        <v>50333.201879108623</v>
      </c>
      <c r="G21" s="115">
        <f>G13*G19*0.0864*365*(1-G28/100)</f>
        <v>51192.852161135685</v>
      </c>
      <c r="H21" s="116">
        <f>H13*H19*0.0864*365*(1-H28/100)</f>
        <v>52048.084315644301</v>
      </c>
      <c r="I21" s="246"/>
    </row>
    <row r="22" spans="2:9" ht="75" customHeight="1" x14ac:dyDescent="0.25">
      <c r="B22" s="98" t="s">
        <v>67</v>
      </c>
      <c r="C22" s="231" t="s">
        <v>89</v>
      </c>
      <c r="D22" s="63">
        <f>D13*D16*0.0864*365</f>
        <v>92657.914476790742</v>
      </c>
      <c r="E22" s="63">
        <f t="shared" ref="E22:H22" si="1">E13*E16*0.0864*365</f>
        <v>94524.099729490772</v>
      </c>
      <c r="F22" s="63">
        <f t="shared" si="1"/>
        <v>96197.933404033727</v>
      </c>
      <c r="G22" s="63">
        <f t="shared" si="1"/>
        <v>97840.916117110857</v>
      </c>
      <c r="H22" s="63">
        <f t="shared" si="1"/>
        <v>99475.454806741807</v>
      </c>
      <c r="I22" s="233" t="s">
        <v>165</v>
      </c>
    </row>
    <row r="23" spans="2:9" x14ac:dyDescent="0.25">
      <c r="B23" s="98" t="s">
        <v>68</v>
      </c>
      <c r="C23" s="232"/>
      <c r="D23" s="64">
        <f>D13*D17*0.0864*365</f>
        <v>92657.914476790742</v>
      </c>
      <c r="E23" s="64">
        <f t="shared" ref="E23:H23" si="2">E13*E17*0.0864*365</f>
        <v>94524.099729490772</v>
      </c>
      <c r="F23" s="64">
        <f t="shared" si="2"/>
        <v>96197.933404033727</v>
      </c>
      <c r="G23" s="64">
        <f t="shared" si="2"/>
        <v>97840.916117110857</v>
      </c>
      <c r="H23" s="64">
        <f t="shared" si="2"/>
        <v>99475.454806741807</v>
      </c>
      <c r="I23" s="234"/>
    </row>
    <row r="24" spans="2:9" ht="30" x14ac:dyDescent="0.25">
      <c r="B24" s="99" t="s">
        <v>15</v>
      </c>
      <c r="C24" s="94"/>
      <c r="D24" s="42" t="s">
        <v>50</v>
      </c>
      <c r="E24" s="42" t="s">
        <v>50</v>
      </c>
      <c r="F24" s="42" t="s">
        <v>50</v>
      </c>
      <c r="G24" s="42" t="s">
        <v>50</v>
      </c>
      <c r="H24" s="82" t="s">
        <v>50</v>
      </c>
      <c r="I24" s="235" t="s">
        <v>65</v>
      </c>
    </row>
    <row r="25" spans="2:9" ht="30" x14ac:dyDescent="0.25">
      <c r="B25" s="100" t="s">
        <v>16</v>
      </c>
      <c r="C25" s="95"/>
      <c r="D25" s="43" t="s">
        <v>50</v>
      </c>
      <c r="E25" s="43" t="s">
        <v>50</v>
      </c>
      <c r="F25" s="43" t="s">
        <v>50</v>
      </c>
      <c r="G25" s="43" t="s">
        <v>50</v>
      </c>
      <c r="H25" s="83" t="s">
        <v>50</v>
      </c>
      <c r="I25" s="236"/>
    </row>
    <row r="26" spans="2:9" ht="45" x14ac:dyDescent="0.25">
      <c r="B26" s="107" t="s">
        <v>2</v>
      </c>
      <c r="C26" s="96" t="s">
        <v>92</v>
      </c>
      <c r="D26" s="57">
        <v>1</v>
      </c>
      <c r="E26" s="57">
        <v>1</v>
      </c>
      <c r="F26" s="57">
        <v>1</v>
      </c>
      <c r="G26" s="57">
        <v>1</v>
      </c>
      <c r="H26" s="57">
        <v>1</v>
      </c>
      <c r="I26" s="88" t="s">
        <v>154</v>
      </c>
    </row>
    <row r="27" spans="2:9" x14ac:dyDescent="0.25">
      <c r="B27" s="88" t="s">
        <v>43</v>
      </c>
      <c r="C27" s="237" t="s">
        <v>52</v>
      </c>
      <c r="D27" s="40">
        <v>80</v>
      </c>
      <c r="E27" s="40">
        <v>80</v>
      </c>
      <c r="F27" s="40">
        <v>80</v>
      </c>
      <c r="G27" s="40">
        <v>80</v>
      </c>
      <c r="H27" s="40">
        <v>80</v>
      </c>
      <c r="I27" s="239" t="s">
        <v>88</v>
      </c>
    </row>
    <row r="28" spans="2:9" x14ac:dyDescent="0.25">
      <c r="B28" s="101" t="s">
        <v>44</v>
      </c>
      <c r="C28" s="238"/>
      <c r="D28" s="40">
        <v>68</v>
      </c>
      <c r="E28" s="40">
        <v>68</v>
      </c>
      <c r="F28" s="40">
        <v>68</v>
      </c>
      <c r="G28" s="40">
        <v>68</v>
      </c>
      <c r="H28" s="40">
        <v>68</v>
      </c>
      <c r="I28" s="240"/>
    </row>
    <row r="29" spans="2:9" ht="30" x14ac:dyDescent="0.25">
      <c r="B29" s="102" t="s">
        <v>155</v>
      </c>
      <c r="C29" s="220" t="s">
        <v>77</v>
      </c>
      <c r="D29" s="46">
        <f>'[1]Tubará 1401-1'!$E$41</f>
        <v>42584.759330790992</v>
      </c>
      <c r="E29" s="46">
        <f>'[1]Tubará 1401-1'!$E$42</f>
        <v>43450.174211717218</v>
      </c>
      <c r="F29" s="46">
        <f>'[1]Tubará 1401-1'!$E$43</f>
        <v>44135.079411076236</v>
      </c>
      <c r="G29" s="46">
        <f>'[1]Tubará 1401-1'!$E$44</f>
        <v>44721.123008486022</v>
      </c>
      <c r="H29" s="46">
        <f>'[1]Tubará 1401-1'!$E$45</f>
        <v>45234.794198725605</v>
      </c>
      <c r="I29" s="222" t="s">
        <v>196</v>
      </c>
    </row>
    <row r="30" spans="2:9" ht="93" customHeight="1" x14ac:dyDescent="0.25">
      <c r="B30" s="103" t="s">
        <v>157</v>
      </c>
      <c r="C30" s="221"/>
      <c r="D30" s="46">
        <f>'[1]Tubará 1401-1'!$F$41</f>
        <v>42584.759330790992</v>
      </c>
      <c r="E30" s="46">
        <f>'[1]Tubará 1401-1'!$F$42</f>
        <v>43450.174211717218</v>
      </c>
      <c r="F30" s="46">
        <f>'[1]Tubará 1401-1'!$F$43</f>
        <v>44135.079411076236</v>
      </c>
      <c r="G30" s="46">
        <f>'[1]Tubará 1401-1'!$F$44</f>
        <v>44721.123008486022</v>
      </c>
      <c r="H30" s="46">
        <f>'[1]Tubará 1401-1'!$F$45</f>
        <v>45234.794198725605</v>
      </c>
      <c r="I30" s="223"/>
    </row>
    <row r="31" spans="2:9" ht="45.75" thickBot="1" x14ac:dyDescent="0.3">
      <c r="B31" s="104" t="s">
        <v>158</v>
      </c>
      <c r="C31" s="65" t="s">
        <v>66</v>
      </c>
      <c r="D31" s="71"/>
      <c r="E31" s="71"/>
      <c r="F31" s="71"/>
      <c r="G31" s="71"/>
      <c r="H31" s="86"/>
      <c r="I31" s="89" t="s">
        <v>159</v>
      </c>
    </row>
    <row r="32" spans="2:9" ht="40.5" customHeight="1" thickBot="1" x14ac:dyDescent="0.3">
      <c r="B32" s="70" t="s">
        <v>160</v>
      </c>
      <c r="C32" s="224" t="s">
        <v>197</v>
      </c>
      <c r="D32" s="225"/>
      <c r="E32" s="225"/>
      <c r="F32" s="225"/>
      <c r="G32" s="225"/>
      <c r="H32" s="225"/>
      <c r="I32" s="226"/>
    </row>
    <row r="33" spans="2:9" ht="114.75" customHeight="1" thickBot="1" x14ac:dyDescent="0.3">
      <c r="B33" s="22" t="s">
        <v>32</v>
      </c>
      <c r="C33" s="227" t="s">
        <v>111</v>
      </c>
      <c r="D33" s="48">
        <f>D22</f>
        <v>92657.914476790742</v>
      </c>
      <c r="E33" s="48">
        <f t="shared" ref="E33:F34" si="3">E22</f>
        <v>94524.099729490772</v>
      </c>
      <c r="F33" s="48">
        <f t="shared" si="3"/>
        <v>96197.933404033727</v>
      </c>
      <c r="G33" s="48">
        <f>G20</f>
        <v>41450.381764534737</v>
      </c>
      <c r="H33" s="48">
        <f>H20</f>
        <v>42142.855377649823</v>
      </c>
      <c r="I33" s="229" t="s">
        <v>198</v>
      </c>
    </row>
    <row r="34" spans="2:9" ht="15.75" thickBot="1" x14ac:dyDescent="0.3">
      <c r="B34" s="25" t="s">
        <v>33</v>
      </c>
      <c r="C34" s="228"/>
      <c r="D34" s="49">
        <f>D23</f>
        <v>92657.914476790742</v>
      </c>
      <c r="E34" s="49">
        <f t="shared" si="3"/>
        <v>94524.099729490772</v>
      </c>
      <c r="F34" s="49">
        <f t="shared" si="3"/>
        <v>96197.933404033727</v>
      </c>
      <c r="G34" s="49">
        <f>G21</f>
        <v>51192.852161135685</v>
      </c>
      <c r="H34" s="49">
        <f>H21</f>
        <v>52048.084315644301</v>
      </c>
      <c r="I34" s="230"/>
    </row>
    <row r="35" spans="2:9" ht="30.75" thickBot="1" x14ac:dyDescent="0.3">
      <c r="B35" s="66" t="s">
        <v>13</v>
      </c>
      <c r="C35" s="67"/>
      <c r="D35" s="68">
        <v>100</v>
      </c>
      <c r="E35" s="68">
        <v>0</v>
      </c>
      <c r="F35" s="68">
        <v>0</v>
      </c>
      <c r="G35" s="68">
        <v>0</v>
      </c>
      <c r="H35" s="68">
        <v>0</v>
      </c>
      <c r="I35" s="69" t="s">
        <v>93</v>
      </c>
    </row>
  </sheetData>
  <mergeCells count="26">
    <mergeCell ref="C29:C30"/>
    <mergeCell ref="I29:I30"/>
    <mergeCell ref="C32:I32"/>
    <mergeCell ref="C33:C34"/>
    <mergeCell ref="I33:I34"/>
    <mergeCell ref="C22:C23"/>
    <mergeCell ref="I22:I23"/>
    <mergeCell ref="I24:I25"/>
    <mergeCell ref="C27:C28"/>
    <mergeCell ref="I27:I28"/>
    <mergeCell ref="C16:C17"/>
    <mergeCell ref="I16:I17"/>
    <mergeCell ref="I18:I19"/>
    <mergeCell ref="C20:C21"/>
    <mergeCell ref="I20:I21"/>
    <mergeCell ref="I2:I6"/>
    <mergeCell ref="B7:B8"/>
    <mergeCell ref="C7:C8"/>
    <mergeCell ref="I7:I12"/>
    <mergeCell ref="I14:I15"/>
    <mergeCell ref="D7:H7"/>
    <mergeCell ref="B2:H2"/>
    <mergeCell ref="B3:H3"/>
    <mergeCell ref="B4:H4"/>
    <mergeCell ref="B5:H5"/>
    <mergeCell ref="C6:H6"/>
  </mergeCell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sheetPr>
  <dimension ref="B1:I35"/>
  <sheetViews>
    <sheetView topLeftCell="A16" workbookViewId="0">
      <selection activeCell="B25" sqref="B25"/>
    </sheetView>
  </sheetViews>
  <sheetFormatPr baseColWidth="10" defaultRowHeight="15" x14ac:dyDescent="0.25"/>
  <cols>
    <col min="2" max="2" width="40.85546875" customWidth="1"/>
    <col min="3" max="3" width="38.5703125" customWidth="1"/>
    <col min="4" max="4" width="11.85546875" bestFit="1" customWidth="1"/>
    <col min="9" max="9" width="51.42578125" customWidth="1"/>
  </cols>
  <sheetData>
    <row r="1" spans="2:9" ht="15.75" thickBot="1" x14ac:dyDescent="0.3"/>
    <row r="2" spans="2:9" ht="15.75" customHeight="1" thickBot="1" x14ac:dyDescent="0.3">
      <c r="B2" s="255" t="s">
        <v>6</v>
      </c>
      <c r="C2" s="256"/>
      <c r="D2" s="256"/>
      <c r="E2" s="256"/>
      <c r="F2" s="256"/>
      <c r="G2" s="256"/>
      <c r="H2" s="257"/>
      <c r="I2" s="258" t="s">
        <v>53</v>
      </c>
    </row>
    <row r="3" spans="2:9" ht="30.75" customHeight="1" thickBot="1" x14ac:dyDescent="0.3">
      <c r="B3" s="261" t="s">
        <v>5</v>
      </c>
      <c r="C3" s="262"/>
      <c r="D3" s="262"/>
      <c r="E3" s="262"/>
      <c r="F3" s="262"/>
      <c r="G3" s="262"/>
      <c r="H3" s="263"/>
      <c r="I3" s="259"/>
    </row>
    <row r="4" spans="2:9" ht="30.75" customHeight="1" thickBot="1" x14ac:dyDescent="0.3">
      <c r="B4" s="264" t="s">
        <v>7</v>
      </c>
      <c r="C4" s="265"/>
      <c r="D4" s="265"/>
      <c r="E4" s="265"/>
      <c r="F4" s="265"/>
      <c r="G4" s="265"/>
      <c r="H4" s="265"/>
      <c r="I4" s="259"/>
    </row>
    <row r="5" spans="2:9" ht="27.75" customHeight="1" thickBot="1" x14ac:dyDescent="0.3">
      <c r="B5" s="261" t="s">
        <v>0</v>
      </c>
      <c r="C5" s="262"/>
      <c r="D5" s="262"/>
      <c r="E5" s="262"/>
      <c r="F5" s="262"/>
      <c r="G5" s="262"/>
      <c r="H5" s="263"/>
      <c r="I5" s="259"/>
    </row>
    <row r="6" spans="2:9" ht="15.75" thickBot="1" x14ac:dyDescent="0.3">
      <c r="B6" s="105" t="s">
        <v>1</v>
      </c>
      <c r="C6" s="266" t="s">
        <v>90</v>
      </c>
      <c r="D6" s="267"/>
      <c r="E6" s="267"/>
      <c r="F6" s="267"/>
      <c r="G6" s="267"/>
      <c r="H6" s="268"/>
      <c r="I6" s="260"/>
    </row>
    <row r="7" spans="2:9" x14ac:dyDescent="0.25">
      <c r="B7" s="247" t="s">
        <v>162</v>
      </c>
      <c r="C7" s="249" t="s">
        <v>163</v>
      </c>
      <c r="D7" s="251" t="s">
        <v>4</v>
      </c>
      <c r="E7" s="252"/>
      <c r="F7" s="252"/>
      <c r="G7" s="252"/>
      <c r="H7" s="252"/>
      <c r="I7" s="253" t="s">
        <v>164</v>
      </c>
    </row>
    <row r="8" spans="2:9" x14ac:dyDescent="0.25">
      <c r="B8" s="248"/>
      <c r="C8" s="250"/>
      <c r="D8" s="33">
        <v>2021</v>
      </c>
      <c r="E8" s="33">
        <v>2022</v>
      </c>
      <c r="F8" s="33">
        <v>2023</v>
      </c>
      <c r="G8" s="33">
        <v>2024</v>
      </c>
      <c r="H8" s="72">
        <v>2025</v>
      </c>
      <c r="I8" s="254"/>
    </row>
    <row r="9" spans="2:9" x14ac:dyDescent="0.25">
      <c r="B9" s="88" t="s">
        <v>145</v>
      </c>
      <c r="C9" s="90" t="s">
        <v>146</v>
      </c>
      <c r="D9" s="35">
        <f>'[1]Polonuevo  2904-4'!$F$12</f>
        <v>16403</v>
      </c>
      <c r="E9" s="35">
        <f>'[1]Polonuevo  2904-4'!$F$13</f>
        <v>16666</v>
      </c>
      <c r="F9" s="35">
        <f>'[1]Polonuevo  2904-4'!$F$14</f>
        <v>16872</v>
      </c>
      <c r="G9" s="35">
        <f>'[1]Polonuevo  2904-4'!$F$15</f>
        <v>17069.5</v>
      </c>
      <c r="H9" s="73">
        <f>'[1]Polonuevo  2904-4'!$F$16</f>
        <v>17250.5</v>
      </c>
      <c r="I9" s="254"/>
    </row>
    <row r="10" spans="2:9" x14ac:dyDescent="0.25">
      <c r="B10" s="88" t="s">
        <v>14</v>
      </c>
      <c r="C10" s="91" t="s">
        <v>147</v>
      </c>
      <c r="D10" s="37" t="s">
        <v>50</v>
      </c>
      <c r="E10" s="37" t="s">
        <v>50</v>
      </c>
      <c r="F10" s="37" t="s">
        <v>50</v>
      </c>
      <c r="G10" s="37" t="s">
        <v>50</v>
      </c>
      <c r="H10" s="74" t="s">
        <v>50</v>
      </c>
      <c r="I10" s="254"/>
    </row>
    <row r="11" spans="2:9" ht="30" x14ac:dyDescent="0.25">
      <c r="B11" s="87" t="s">
        <v>39</v>
      </c>
      <c r="C11" s="92" t="s">
        <v>148</v>
      </c>
      <c r="D11" s="59">
        <f>'[1]Polonuevo  2904-4'!$D$31</f>
        <v>25.502488310185189</v>
      </c>
      <c r="E11" s="59">
        <f>'[1]Polonuevo  2904-4'!$D$32</f>
        <v>25.911386342592596</v>
      </c>
      <c r="F11" s="59">
        <f>'[1]Polonuevo  2904-4'!$D$33</f>
        <v>26.231663888888892</v>
      </c>
      <c r="G11" s="59">
        <f>'[1]Polonuevo  2904-4'!$D$34</f>
        <v>26.538726099537037</v>
      </c>
      <c r="H11" s="75">
        <f>'[1]Polonuevo  2904-4'!$D$35</f>
        <v>26.820135011574074</v>
      </c>
      <c r="I11" s="254"/>
    </row>
    <row r="12" spans="2:9" ht="30" x14ac:dyDescent="0.25">
      <c r="B12" s="88" t="s">
        <v>40</v>
      </c>
      <c r="C12" s="90" t="s">
        <v>148</v>
      </c>
      <c r="D12" s="60">
        <f>'[1]Polonuevo  2904-4'!$E$31</f>
        <v>0.23580752884031575</v>
      </c>
      <c r="E12" s="60">
        <f>'[1]Polonuevo  2904-4'!$E$32</f>
        <v>0.24288175470552523</v>
      </c>
      <c r="F12" s="60">
        <f>'[1]Polonuevo  2904-4'!$D$33</f>
        <v>26.231663888888892</v>
      </c>
      <c r="G12" s="60">
        <f>'[1]Polonuevo  2904-4'!$E$34</f>
        <v>0.2576732535670917</v>
      </c>
      <c r="H12" s="60">
        <f>'[1]Polonuevo  2904-4'!$E$35</f>
        <v>0.26540345117410447</v>
      </c>
      <c r="I12" s="240"/>
    </row>
    <row r="13" spans="2:9" x14ac:dyDescent="0.25">
      <c r="B13" s="87" t="s">
        <v>42</v>
      </c>
      <c r="C13" s="92" t="s">
        <v>149</v>
      </c>
      <c r="D13" s="113">
        <f>SUM(D11:D12)</f>
        <v>25.738295839025504</v>
      </c>
      <c r="E13" s="113">
        <f t="shared" ref="E13:H13" si="0">SUM(E11:E12)</f>
        <v>26.154268097298122</v>
      </c>
      <c r="F13" s="113">
        <f t="shared" si="0"/>
        <v>52.463327777777785</v>
      </c>
      <c r="G13" s="113">
        <f t="shared" si="0"/>
        <v>26.796399353104128</v>
      </c>
      <c r="H13" s="113">
        <f t="shared" si="0"/>
        <v>27.085538462748179</v>
      </c>
      <c r="I13" s="87" t="s">
        <v>56</v>
      </c>
    </row>
    <row r="14" spans="2:9" ht="15" customHeight="1" x14ac:dyDescent="0.25">
      <c r="B14" s="107" t="s">
        <v>17</v>
      </c>
      <c r="C14" s="110" t="s">
        <v>58</v>
      </c>
      <c r="D14" s="40">
        <v>250</v>
      </c>
      <c r="E14" s="40">
        <v>250</v>
      </c>
      <c r="F14" s="40">
        <v>250</v>
      </c>
      <c r="G14" s="40">
        <v>250</v>
      </c>
      <c r="H14" s="77">
        <v>250</v>
      </c>
      <c r="I14" s="239" t="s">
        <v>104</v>
      </c>
    </row>
    <row r="15" spans="2:9" x14ac:dyDescent="0.25">
      <c r="B15" s="88" t="s">
        <v>20</v>
      </c>
      <c r="C15" s="93" t="s">
        <v>58</v>
      </c>
      <c r="D15" s="40">
        <v>250</v>
      </c>
      <c r="E15" s="40">
        <v>250</v>
      </c>
      <c r="F15" s="40">
        <v>250</v>
      </c>
      <c r="G15" s="40">
        <v>250</v>
      </c>
      <c r="H15" s="77">
        <v>250</v>
      </c>
      <c r="I15" s="240"/>
    </row>
    <row r="16" spans="2:9" ht="15" customHeight="1" x14ac:dyDescent="0.25">
      <c r="B16" s="107" t="s">
        <v>62</v>
      </c>
      <c r="C16" s="241" t="s">
        <v>150</v>
      </c>
      <c r="D16" s="40">
        <v>90</v>
      </c>
      <c r="E16" s="40">
        <v>90</v>
      </c>
      <c r="F16" s="40">
        <v>90</v>
      </c>
      <c r="G16" s="40">
        <v>90</v>
      </c>
      <c r="H16" s="77">
        <v>90</v>
      </c>
      <c r="I16" s="239" t="s">
        <v>151</v>
      </c>
    </row>
    <row r="17" spans="2:9" x14ac:dyDescent="0.25">
      <c r="B17" s="88" t="s">
        <v>63</v>
      </c>
      <c r="C17" s="242"/>
      <c r="D17" s="40">
        <v>90</v>
      </c>
      <c r="E17" s="40">
        <v>90</v>
      </c>
      <c r="F17" s="40">
        <v>90</v>
      </c>
      <c r="G17" s="40">
        <v>90</v>
      </c>
      <c r="H17" s="77">
        <v>90</v>
      </c>
      <c r="I17" s="240"/>
    </row>
    <row r="18" spans="2:9" ht="30" x14ac:dyDescent="0.25">
      <c r="B18" s="106" t="s">
        <v>57</v>
      </c>
      <c r="C18" s="110" t="s">
        <v>59</v>
      </c>
      <c r="D18" s="111">
        <v>190.64285714285714</v>
      </c>
      <c r="E18" s="111">
        <v>190.64285714285714</v>
      </c>
      <c r="F18" s="111">
        <v>190.64285714285714</v>
      </c>
      <c r="G18" s="111">
        <v>190.64285714285714</v>
      </c>
      <c r="H18" s="111">
        <v>190.64285714285714</v>
      </c>
      <c r="I18" s="239" t="s">
        <v>80</v>
      </c>
    </row>
    <row r="19" spans="2:9" ht="30" x14ac:dyDescent="0.25">
      <c r="B19" s="107" t="s">
        <v>60</v>
      </c>
      <c r="C19" s="93" t="s">
        <v>59</v>
      </c>
      <c r="D19" s="111">
        <v>147.15714285714284</v>
      </c>
      <c r="E19" s="111">
        <v>147.15714285714284</v>
      </c>
      <c r="F19" s="111">
        <v>147.15714285714284</v>
      </c>
      <c r="G19" s="111">
        <v>147.15714285714284</v>
      </c>
      <c r="H19" s="112">
        <v>147.15714285714284</v>
      </c>
      <c r="I19" s="240"/>
    </row>
    <row r="20" spans="2:9" ht="15" customHeight="1" x14ac:dyDescent="0.25">
      <c r="B20" s="97" t="s">
        <v>67</v>
      </c>
      <c r="C20" s="243" t="s">
        <v>152</v>
      </c>
      <c r="D20" s="117">
        <f>D13*D18*0.0864*365*(1-D27/100)</f>
        <v>30948.309337710099</v>
      </c>
      <c r="E20" s="117">
        <f>E13*E18*0.0864*365*(1-E27/100)</f>
        <v>31448.483793915057</v>
      </c>
      <c r="F20" s="117">
        <f>F13*F18*0.0864*365*(1-F27/100)</f>
        <v>63083.092490159994</v>
      </c>
      <c r="G20" s="117">
        <f>G13*G18*0.0864*365*(1-G27/100)</f>
        <v>32220.59694640919</v>
      </c>
      <c r="H20" s="118">
        <f>H13*H18*0.0864*365*(1-H27/100)</f>
        <v>32568.264354650193</v>
      </c>
      <c r="I20" s="245" t="s">
        <v>153</v>
      </c>
    </row>
    <row r="21" spans="2:9" ht="75" customHeight="1" x14ac:dyDescent="0.25">
      <c r="B21" s="97" t="s">
        <v>68</v>
      </c>
      <c r="C21" s="244"/>
      <c r="D21" s="115">
        <f>D13*D19*0.0864*365*(1-D28/100)</f>
        <v>69278.062946008271</v>
      </c>
      <c r="E21" s="115">
        <f>E13*E19*0.0864*365*(1-E28/100)</f>
        <v>70397.707870157028</v>
      </c>
      <c r="F21" s="115">
        <f>F13*F19*0.0864*365*(1-F28/100)</f>
        <v>141212.05797297123</v>
      </c>
      <c r="G21" s="115">
        <f>G13*G19*0.0864*365*(1-G28/100)</f>
        <v>72126.089960313766</v>
      </c>
      <c r="H21" s="116">
        <f>H13*H19*0.0864*365*(1-H28/100)</f>
        <v>72904.346514801786</v>
      </c>
      <c r="I21" s="246"/>
    </row>
    <row r="22" spans="2:9" ht="15" customHeight="1" x14ac:dyDescent="0.25">
      <c r="B22" s="98" t="s">
        <v>67</v>
      </c>
      <c r="C22" s="231" t="s">
        <v>89</v>
      </c>
      <c r="D22" s="63">
        <f>D13*D16*0.0864*365</f>
        <v>73051.460782155744</v>
      </c>
      <c r="E22" s="63">
        <f t="shared" ref="E22:H22" si="1">E13*E16*0.0864*365</f>
        <v>74232.089884475427</v>
      </c>
      <c r="F22" s="63">
        <f t="shared" si="1"/>
        <v>148903.51543200001</v>
      </c>
      <c r="G22" s="63">
        <f t="shared" si="1"/>
        <v>76054.612499954266</v>
      </c>
      <c r="H22" s="63">
        <f t="shared" si="1"/>
        <v>76875.258686510395</v>
      </c>
      <c r="I22" s="233" t="s">
        <v>165</v>
      </c>
    </row>
    <row r="23" spans="2:9" ht="87.75" customHeight="1" x14ac:dyDescent="0.25">
      <c r="B23" s="98" t="s">
        <v>68</v>
      </c>
      <c r="C23" s="232"/>
      <c r="D23" s="64">
        <f>D13*D17*0.0864*365</f>
        <v>73051.460782155744</v>
      </c>
      <c r="E23" s="64">
        <f t="shared" ref="E23:H23" si="2">E13*E17*0.0864*365</f>
        <v>74232.089884475427</v>
      </c>
      <c r="F23" s="64">
        <f t="shared" si="2"/>
        <v>148903.51543200001</v>
      </c>
      <c r="G23" s="64">
        <f t="shared" si="2"/>
        <v>76054.612499954266</v>
      </c>
      <c r="H23" s="64">
        <f t="shared" si="2"/>
        <v>76875.258686510395</v>
      </c>
      <c r="I23" s="234"/>
    </row>
    <row r="24" spans="2:9" ht="30" x14ac:dyDescent="0.25">
      <c r="B24" s="99" t="s">
        <v>15</v>
      </c>
      <c r="C24" s="94"/>
      <c r="D24" s="42" t="s">
        <v>50</v>
      </c>
      <c r="E24" s="42" t="s">
        <v>50</v>
      </c>
      <c r="F24" s="42" t="s">
        <v>50</v>
      </c>
      <c r="G24" s="42" t="s">
        <v>50</v>
      </c>
      <c r="H24" s="82" t="s">
        <v>50</v>
      </c>
      <c r="I24" s="235" t="s">
        <v>65</v>
      </c>
    </row>
    <row r="25" spans="2:9" ht="30" x14ac:dyDescent="0.25">
      <c r="B25" s="100" t="s">
        <v>16</v>
      </c>
      <c r="C25" s="95"/>
      <c r="D25" s="43" t="s">
        <v>50</v>
      </c>
      <c r="E25" s="43" t="s">
        <v>50</v>
      </c>
      <c r="F25" s="43" t="s">
        <v>50</v>
      </c>
      <c r="G25" s="43" t="s">
        <v>50</v>
      </c>
      <c r="H25" s="83" t="s">
        <v>50</v>
      </c>
      <c r="I25" s="236"/>
    </row>
    <row r="26" spans="2:9" ht="69.75" customHeight="1" x14ac:dyDescent="0.25">
      <c r="B26" s="107" t="s">
        <v>2</v>
      </c>
      <c r="C26" s="96" t="s">
        <v>92</v>
      </c>
      <c r="D26" s="57">
        <v>1</v>
      </c>
      <c r="E26" s="57">
        <v>1</v>
      </c>
      <c r="F26" s="57">
        <v>1</v>
      </c>
      <c r="G26" s="57">
        <v>1</v>
      </c>
      <c r="H26" s="57">
        <v>1</v>
      </c>
      <c r="I26" s="106" t="s">
        <v>154</v>
      </c>
    </row>
    <row r="27" spans="2:9" x14ac:dyDescent="0.25">
      <c r="B27" s="88" t="s">
        <v>43</v>
      </c>
      <c r="C27" s="237" t="s">
        <v>52</v>
      </c>
      <c r="D27" s="40">
        <v>80</v>
      </c>
      <c r="E27" s="40">
        <v>80</v>
      </c>
      <c r="F27" s="40">
        <v>80</v>
      </c>
      <c r="G27" s="40">
        <v>80</v>
      </c>
      <c r="H27" s="40">
        <v>80</v>
      </c>
      <c r="I27" s="239" t="s">
        <v>88</v>
      </c>
    </row>
    <row r="28" spans="2:9" x14ac:dyDescent="0.25">
      <c r="B28" s="101" t="s">
        <v>44</v>
      </c>
      <c r="C28" s="238"/>
      <c r="D28" s="40">
        <v>42</v>
      </c>
      <c r="E28" s="40">
        <v>42</v>
      </c>
      <c r="F28" s="40">
        <v>42</v>
      </c>
      <c r="G28" s="40">
        <v>42</v>
      </c>
      <c r="H28" s="40">
        <v>42</v>
      </c>
      <c r="I28" s="240"/>
    </row>
    <row r="29" spans="2:9" ht="30" x14ac:dyDescent="0.25">
      <c r="B29" s="102" t="s">
        <v>155</v>
      </c>
      <c r="C29" s="220" t="s">
        <v>77</v>
      </c>
      <c r="D29" s="46">
        <f>'[1]Polonuevo  2904-4'!$E$41</f>
        <v>73051.460782155729</v>
      </c>
      <c r="E29" s="46">
        <f>'[1]Polonuevo  2904-4'!$E$42</f>
        <v>74232.089884475427</v>
      </c>
      <c r="F29" s="46">
        <f>'[1]Polonuevo  2904-4'!$E$43</f>
        <v>75161.795128819678</v>
      </c>
      <c r="G29" s="46">
        <f>'[1]Polonuevo  2904-4'!$E$44</f>
        <v>76054.612499954266</v>
      </c>
      <c r="H29" s="46">
        <f>'[1]Polonuevo  2904-4'!$E$45</f>
        <v>76875.25868651038</v>
      </c>
      <c r="I29" s="222" t="s">
        <v>156</v>
      </c>
    </row>
    <row r="30" spans="2:9" ht="64.5" customHeight="1" x14ac:dyDescent="0.25">
      <c r="B30" s="103" t="s">
        <v>157</v>
      </c>
      <c r="C30" s="221"/>
      <c r="D30" s="46">
        <f>'[1]Polonuevo  2904-4'!$F$41</f>
        <v>73051.460782155729</v>
      </c>
      <c r="E30" s="46">
        <f>'[1]Polonuevo  2904-4'!$F$42</f>
        <v>74232.089884475427</v>
      </c>
      <c r="F30" s="46">
        <f>'[1]Polonuevo  2904-4'!$F$43</f>
        <v>75161.795128819678</v>
      </c>
      <c r="G30" s="46">
        <f>'[1]Polonuevo  2904-4'!$F$44</f>
        <v>76054.612499954266</v>
      </c>
      <c r="H30" s="46">
        <f>'[1]Polonuevo  2904-4'!$F$45</f>
        <v>76875.25868651038</v>
      </c>
      <c r="I30" s="223"/>
    </row>
    <row r="31" spans="2:9" ht="45.75" thickBot="1" x14ac:dyDescent="0.3">
      <c r="B31" s="104" t="s">
        <v>158</v>
      </c>
      <c r="C31" s="65" t="s">
        <v>66</v>
      </c>
      <c r="D31" s="71"/>
      <c r="E31" s="71"/>
      <c r="F31" s="71"/>
      <c r="G31" s="71"/>
      <c r="H31" s="86"/>
      <c r="I31" s="89" t="s">
        <v>159</v>
      </c>
    </row>
    <row r="32" spans="2:9" ht="33" customHeight="1" thickBot="1" x14ac:dyDescent="0.3">
      <c r="B32" s="70" t="s">
        <v>160</v>
      </c>
      <c r="C32" s="224" t="s">
        <v>161</v>
      </c>
      <c r="D32" s="225"/>
      <c r="E32" s="225"/>
      <c r="F32" s="225"/>
      <c r="G32" s="225"/>
      <c r="H32" s="225"/>
      <c r="I32" s="226"/>
    </row>
    <row r="33" spans="2:9" ht="30.75" thickBot="1" x14ac:dyDescent="0.3">
      <c r="B33" s="22" t="s">
        <v>32</v>
      </c>
      <c r="C33" s="227" t="s">
        <v>108</v>
      </c>
      <c r="D33" s="48">
        <f>D22</f>
        <v>73051.460782155744</v>
      </c>
      <c r="E33" s="48">
        <f t="shared" ref="E33:F33" si="3">E22</f>
        <v>74232.089884475427</v>
      </c>
      <c r="F33" s="48">
        <f t="shared" si="3"/>
        <v>148903.51543200001</v>
      </c>
      <c r="G33" s="48">
        <f>G20</f>
        <v>32220.59694640919</v>
      </c>
      <c r="H33" s="48">
        <f>H20</f>
        <v>32568.264354650193</v>
      </c>
      <c r="I33" s="229" t="s">
        <v>200</v>
      </c>
    </row>
    <row r="34" spans="2:9" ht="73.5" customHeight="1" thickBot="1" x14ac:dyDescent="0.3">
      <c r="B34" s="25" t="s">
        <v>33</v>
      </c>
      <c r="C34" s="228"/>
      <c r="D34" s="49">
        <f>D23</f>
        <v>73051.460782155744</v>
      </c>
      <c r="E34" s="49">
        <f t="shared" ref="E34:F34" si="4">E23</f>
        <v>74232.089884475427</v>
      </c>
      <c r="F34" s="49">
        <f t="shared" si="4"/>
        <v>148903.51543200001</v>
      </c>
      <c r="G34" s="49">
        <f>G21</f>
        <v>72126.089960313766</v>
      </c>
      <c r="H34" s="49">
        <f>H21</f>
        <v>72904.346514801786</v>
      </c>
      <c r="I34" s="230"/>
    </row>
    <row r="35" spans="2:9" ht="30.75" thickBot="1" x14ac:dyDescent="0.3">
      <c r="B35" s="66" t="s">
        <v>13</v>
      </c>
      <c r="C35" s="67"/>
      <c r="D35" s="68">
        <v>100</v>
      </c>
      <c r="E35" s="68">
        <v>0</v>
      </c>
      <c r="F35" s="68">
        <v>0</v>
      </c>
      <c r="G35" s="68">
        <v>0</v>
      </c>
      <c r="H35" s="68">
        <v>0</v>
      </c>
      <c r="I35" s="69" t="s">
        <v>93</v>
      </c>
    </row>
  </sheetData>
  <mergeCells count="26">
    <mergeCell ref="C29:C30"/>
    <mergeCell ref="I29:I30"/>
    <mergeCell ref="C32:I32"/>
    <mergeCell ref="C33:C34"/>
    <mergeCell ref="I33:I34"/>
    <mergeCell ref="C22:C23"/>
    <mergeCell ref="I22:I23"/>
    <mergeCell ref="I24:I25"/>
    <mergeCell ref="C27:C28"/>
    <mergeCell ref="I27:I28"/>
    <mergeCell ref="C16:C17"/>
    <mergeCell ref="I16:I17"/>
    <mergeCell ref="I18:I19"/>
    <mergeCell ref="C20:C21"/>
    <mergeCell ref="I20:I21"/>
    <mergeCell ref="I2:I6"/>
    <mergeCell ref="B7:B8"/>
    <mergeCell ref="C7:C8"/>
    <mergeCell ref="I7:I12"/>
    <mergeCell ref="I14:I15"/>
    <mergeCell ref="D7:H7"/>
    <mergeCell ref="B2:H2"/>
    <mergeCell ref="B3:H3"/>
    <mergeCell ref="B4:H4"/>
    <mergeCell ref="B5:H5"/>
    <mergeCell ref="C6:H6"/>
  </mergeCells>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59999389629810485"/>
  </sheetPr>
  <dimension ref="B1:I35"/>
  <sheetViews>
    <sheetView topLeftCell="A23" workbookViewId="0">
      <selection activeCell="I35" sqref="I35"/>
    </sheetView>
  </sheetViews>
  <sheetFormatPr baseColWidth="10" defaultRowHeight="15" x14ac:dyDescent="0.25"/>
  <cols>
    <col min="2" max="2" width="40.85546875" customWidth="1"/>
    <col min="3" max="3" width="38.5703125" customWidth="1"/>
    <col min="4" max="4" width="11.85546875" bestFit="1" customWidth="1"/>
    <col min="9" max="9" width="51.42578125" customWidth="1"/>
  </cols>
  <sheetData>
    <row r="1" spans="2:9" ht="15.75" thickBot="1" x14ac:dyDescent="0.3"/>
    <row r="2" spans="2:9" ht="15.75" customHeight="1" thickBot="1" x14ac:dyDescent="0.3">
      <c r="B2" s="255" t="s">
        <v>6</v>
      </c>
      <c r="C2" s="256"/>
      <c r="D2" s="256"/>
      <c r="E2" s="256"/>
      <c r="F2" s="256"/>
      <c r="G2" s="256"/>
      <c r="H2" s="257"/>
      <c r="I2" s="258" t="s">
        <v>53</v>
      </c>
    </row>
    <row r="3" spans="2:9" ht="30.75" customHeight="1" thickBot="1" x14ac:dyDescent="0.3">
      <c r="B3" s="261" t="s">
        <v>5</v>
      </c>
      <c r="C3" s="262"/>
      <c r="D3" s="262"/>
      <c r="E3" s="262"/>
      <c r="F3" s="262"/>
      <c r="G3" s="262"/>
      <c r="H3" s="263"/>
      <c r="I3" s="259"/>
    </row>
    <row r="4" spans="2:9" ht="30.75" customHeight="1" thickBot="1" x14ac:dyDescent="0.3">
      <c r="B4" s="264" t="s">
        <v>7</v>
      </c>
      <c r="C4" s="265"/>
      <c r="D4" s="265"/>
      <c r="E4" s="265"/>
      <c r="F4" s="265"/>
      <c r="G4" s="265"/>
      <c r="H4" s="265"/>
      <c r="I4" s="259"/>
    </row>
    <row r="5" spans="2:9" ht="27.75" customHeight="1" thickBot="1" x14ac:dyDescent="0.3">
      <c r="B5" s="261" t="s">
        <v>0</v>
      </c>
      <c r="C5" s="262"/>
      <c r="D5" s="262"/>
      <c r="E5" s="262"/>
      <c r="F5" s="262"/>
      <c r="G5" s="262"/>
      <c r="H5" s="263"/>
      <c r="I5" s="259"/>
    </row>
    <row r="6" spans="2:9" ht="15.75" thickBot="1" x14ac:dyDescent="0.3">
      <c r="B6" s="105" t="s">
        <v>1</v>
      </c>
      <c r="C6" s="266" t="s">
        <v>87</v>
      </c>
      <c r="D6" s="267"/>
      <c r="E6" s="267"/>
      <c r="F6" s="267"/>
      <c r="G6" s="267"/>
      <c r="H6" s="268"/>
      <c r="I6" s="260"/>
    </row>
    <row r="7" spans="2:9" ht="15" customHeight="1" x14ac:dyDescent="0.25">
      <c r="B7" s="247" t="s">
        <v>162</v>
      </c>
      <c r="C7" s="249" t="s">
        <v>163</v>
      </c>
      <c r="D7" s="251" t="s">
        <v>4</v>
      </c>
      <c r="E7" s="252"/>
      <c r="F7" s="252"/>
      <c r="G7" s="252"/>
      <c r="H7" s="252"/>
      <c r="I7" s="253" t="s">
        <v>55</v>
      </c>
    </row>
    <row r="8" spans="2:9" x14ac:dyDescent="0.25">
      <c r="B8" s="248"/>
      <c r="C8" s="250"/>
      <c r="D8" s="33">
        <v>2021</v>
      </c>
      <c r="E8" s="33">
        <v>2022</v>
      </c>
      <c r="F8" s="33">
        <v>2023</v>
      </c>
      <c r="G8" s="33">
        <v>2024</v>
      </c>
      <c r="H8" s="72">
        <v>2025</v>
      </c>
      <c r="I8" s="254"/>
    </row>
    <row r="9" spans="2:9" x14ac:dyDescent="0.25">
      <c r="B9" s="88" t="s">
        <v>201</v>
      </c>
      <c r="C9" s="90" t="s">
        <v>146</v>
      </c>
      <c r="D9" s="35">
        <f>'[1]Sabanagrande  2904-4'!$F$12</f>
        <v>33744.5</v>
      </c>
      <c r="E9" s="35">
        <f>'[1]Sabanagrande  2904-4'!$F$13</f>
        <v>34258.5</v>
      </c>
      <c r="F9" s="35">
        <f>'[1]Sabanagrande  2904-4'!$F$14</f>
        <v>34661</v>
      </c>
      <c r="G9" s="35">
        <f>'[1]Sabanagrande  2904-4'!$F$15</f>
        <v>35034</v>
      </c>
      <c r="H9" s="73">
        <f>'[1]Sabanagrande  2904-4'!$F$16</f>
        <v>35389</v>
      </c>
      <c r="I9" s="254"/>
    </row>
    <row r="10" spans="2:9" x14ac:dyDescent="0.25">
      <c r="B10" s="88" t="s">
        <v>14</v>
      </c>
      <c r="C10" s="91" t="s">
        <v>147</v>
      </c>
      <c r="D10" s="37" t="s">
        <v>50</v>
      </c>
      <c r="E10" s="37" t="s">
        <v>50</v>
      </c>
      <c r="F10" s="37" t="s">
        <v>50</v>
      </c>
      <c r="G10" s="37" t="s">
        <v>50</v>
      </c>
      <c r="H10" s="74" t="s">
        <v>50</v>
      </c>
      <c r="I10" s="254"/>
    </row>
    <row r="11" spans="2:9" ht="30" x14ac:dyDescent="0.25">
      <c r="B11" s="87" t="s">
        <v>39</v>
      </c>
      <c r="C11" s="92" t="s">
        <v>148</v>
      </c>
      <c r="D11" s="59">
        <f>'[1]Sabanagrande  2904-4'!$D$31+'[1]Sabanagrande  2904-4'!$J$31</f>
        <v>52.46410515046297</v>
      </c>
      <c r="E11" s="59">
        <f>'[1]Sabanagrande  2904-4'!$D$32</f>
        <v>53.26324427083334</v>
      </c>
      <c r="F11" s="59">
        <f>'[1]Sabanagrande  2904-4'!$D$33</f>
        <v>53.889029282407414</v>
      </c>
      <c r="G11" s="59">
        <f>'[1]Sabanagrande  2904-4'!$D$34</f>
        <v>54.468949305555562</v>
      </c>
      <c r="H11" s="75">
        <f>'[1]Sabanagrande  2904-4'!$D$35</f>
        <v>55.020883912037036</v>
      </c>
      <c r="I11" s="254"/>
    </row>
    <row r="12" spans="2:9" ht="30" x14ac:dyDescent="0.25">
      <c r="B12" s="88" t="s">
        <v>40</v>
      </c>
      <c r="C12" s="90" t="s">
        <v>148</v>
      </c>
      <c r="D12" s="60">
        <f>'[1]Sabanagrande  2904-4'!$E$31</f>
        <v>1.3460458409228901</v>
      </c>
      <c r="E12" s="60">
        <f>'[1]Sabanagrande  2904-4'!$E$32</f>
        <v>1.3864272161505768</v>
      </c>
      <c r="F12" s="60">
        <f>'[1]Sabanagrande  2904-4'!$E$33</f>
        <v>1.4280200326350942</v>
      </c>
      <c r="G12" s="60">
        <f>'[1]Sabanagrande  2904-4'!$E$34</f>
        <v>1.4708606336141472</v>
      </c>
      <c r="H12" s="60">
        <f>'[1]Sabanagrande  2904-4'!$E$35</f>
        <v>1.5149864526225716</v>
      </c>
      <c r="I12" s="240"/>
    </row>
    <row r="13" spans="2:9" x14ac:dyDescent="0.25">
      <c r="B13" s="87" t="s">
        <v>42</v>
      </c>
      <c r="C13" s="92" t="s">
        <v>149</v>
      </c>
      <c r="D13" s="113">
        <f>D11+D12</f>
        <v>53.810150991385861</v>
      </c>
      <c r="E13" s="113">
        <f t="shared" ref="E13:H13" si="0">E11+E12</f>
        <v>54.64967148698392</v>
      </c>
      <c r="F13" s="113">
        <f t="shared" si="0"/>
        <v>55.31704931504251</v>
      </c>
      <c r="G13" s="113">
        <f t="shared" si="0"/>
        <v>55.939809939169706</v>
      </c>
      <c r="H13" s="114">
        <f t="shared" si="0"/>
        <v>56.535870364659608</v>
      </c>
      <c r="I13" s="87" t="s">
        <v>56</v>
      </c>
    </row>
    <row r="14" spans="2:9" ht="60" customHeight="1" x14ac:dyDescent="0.25">
      <c r="B14" s="107" t="s">
        <v>17</v>
      </c>
      <c r="C14" s="110" t="s">
        <v>58</v>
      </c>
      <c r="D14" s="40">
        <v>250</v>
      </c>
      <c r="E14" s="40">
        <v>250</v>
      </c>
      <c r="F14" s="40">
        <v>250</v>
      </c>
      <c r="G14" s="40">
        <v>250</v>
      </c>
      <c r="H14" s="77">
        <v>250</v>
      </c>
      <c r="I14" s="239" t="s">
        <v>104</v>
      </c>
    </row>
    <row r="15" spans="2:9" x14ac:dyDescent="0.25">
      <c r="B15" s="88" t="s">
        <v>20</v>
      </c>
      <c r="C15" s="93" t="s">
        <v>58</v>
      </c>
      <c r="D15" s="40">
        <v>250</v>
      </c>
      <c r="E15" s="40">
        <v>250</v>
      </c>
      <c r="F15" s="40">
        <v>250</v>
      </c>
      <c r="G15" s="40">
        <v>250</v>
      </c>
      <c r="H15" s="77">
        <v>250</v>
      </c>
      <c r="I15" s="240"/>
    </row>
    <row r="16" spans="2:9" ht="45" customHeight="1" x14ac:dyDescent="0.25">
      <c r="B16" s="107" t="s">
        <v>62</v>
      </c>
      <c r="C16" s="241" t="s">
        <v>150</v>
      </c>
      <c r="D16" s="40">
        <v>90</v>
      </c>
      <c r="E16" s="40">
        <v>90</v>
      </c>
      <c r="F16" s="40">
        <v>90</v>
      </c>
      <c r="G16" s="40">
        <v>90</v>
      </c>
      <c r="H16" s="77">
        <v>90</v>
      </c>
      <c r="I16" s="239" t="s">
        <v>151</v>
      </c>
    </row>
    <row r="17" spans="2:9" x14ac:dyDescent="0.25">
      <c r="B17" s="88" t="s">
        <v>63</v>
      </c>
      <c r="C17" s="242"/>
      <c r="D17" s="40">
        <v>90</v>
      </c>
      <c r="E17" s="40">
        <v>90</v>
      </c>
      <c r="F17" s="40">
        <v>90</v>
      </c>
      <c r="G17" s="40">
        <v>90</v>
      </c>
      <c r="H17" s="77">
        <v>90</v>
      </c>
      <c r="I17" s="240"/>
    </row>
    <row r="18" spans="2:9" ht="30" x14ac:dyDescent="0.25">
      <c r="B18" s="106" t="s">
        <v>57</v>
      </c>
      <c r="C18" s="110" t="s">
        <v>59</v>
      </c>
      <c r="D18" s="111">
        <v>190.64285714285714</v>
      </c>
      <c r="E18" s="111">
        <v>190.64285714285714</v>
      </c>
      <c r="F18" s="111">
        <v>190.64285714285714</v>
      </c>
      <c r="G18" s="111">
        <v>190.64285714285714</v>
      </c>
      <c r="H18" s="111">
        <v>190.64285714285714</v>
      </c>
      <c r="I18" s="239" t="s">
        <v>80</v>
      </c>
    </row>
    <row r="19" spans="2:9" ht="30" x14ac:dyDescent="0.25">
      <c r="B19" s="107" t="s">
        <v>60</v>
      </c>
      <c r="C19" s="93" t="s">
        <v>59</v>
      </c>
      <c r="D19" s="111">
        <v>147.15714285714284</v>
      </c>
      <c r="E19" s="111">
        <v>147.15714285714284</v>
      </c>
      <c r="F19" s="111">
        <v>147.15714285714284</v>
      </c>
      <c r="G19" s="111">
        <v>147.15714285714284</v>
      </c>
      <c r="H19" s="112">
        <v>147.15714285714284</v>
      </c>
      <c r="I19" s="240"/>
    </row>
    <row r="20" spans="2:9" ht="75" customHeight="1" x14ac:dyDescent="0.25">
      <c r="B20" s="97" t="s">
        <v>67</v>
      </c>
      <c r="C20" s="243" t="s">
        <v>202</v>
      </c>
      <c r="D20" s="117">
        <f>D13*D18*0.0864*365*(1-D27/100)</f>
        <v>74407.924678720796</v>
      </c>
      <c r="E20" s="117">
        <f>E13*E18*0.0864*365*(1-E27/100)</f>
        <v>75568.801885935885</v>
      </c>
      <c r="F20" s="117">
        <f>F13*F18*0.0864*365*(1-F27/100)</f>
        <v>76491.642618540063</v>
      </c>
      <c r="G20" s="117">
        <f>G13*G18*0.0864*365*(1-G27/100)</f>
        <v>77352.787305168938</v>
      </c>
      <c r="H20" s="118">
        <f>H13*H18*0.0864*365*(1-H27/100)</f>
        <v>78177.011330314665</v>
      </c>
      <c r="I20" s="245" t="s">
        <v>203</v>
      </c>
    </row>
    <row r="21" spans="2:9" x14ac:dyDescent="0.25">
      <c r="B21" s="97" t="s">
        <v>68</v>
      </c>
      <c r="C21" s="244"/>
      <c r="D21" s="115">
        <f>D13*D19*0.0864*365*(1-D28/100)</f>
        <v>88650.362911040938</v>
      </c>
      <c r="E21" s="115">
        <f>E13*E19*0.0864*365*(1-E28/100)</f>
        <v>90033.443895480828</v>
      </c>
      <c r="F21" s="115">
        <f>F13*F19*0.0864*365*(1-F28/100)</f>
        <v>91132.925788137974</v>
      </c>
      <c r="G21" s="115">
        <f>G13*G19*0.0864*365*(1-G28/100)</f>
        <v>92158.902380257583</v>
      </c>
      <c r="H21" s="116">
        <f>H13*H19*0.0864*365*(1-H28/100)</f>
        <v>93140.891318460854</v>
      </c>
      <c r="I21" s="246"/>
    </row>
    <row r="22" spans="2:9" ht="75" customHeight="1" x14ac:dyDescent="0.25">
      <c r="B22" s="98" t="s">
        <v>67</v>
      </c>
      <c r="C22" s="231" t="s">
        <v>89</v>
      </c>
      <c r="D22" s="63">
        <f>D13*D16*0.0864*365</f>
        <v>152726.12294979102</v>
      </c>
      <c r="E22" s="63">
        <f t="shared" ref="E22:H22" si="1">E13*E16*0.0864*365</f>
        <v>155108.88360121724</v>
      </c>
      <c r="F22" s="63">
        <f t="shared" si="1"/>
        <v>157003.06204792627</v>
      </c>
      <c r="G22" s="63">
        <f t="shared" si="1"/>
        <v>158770.60616174905</v>
      </c>
      <c r="H22" s="63">
        <f t="shared" si="1"/>
        <v>160462.36870379149</v>
      </c>
      <c r="I22" s="233" t="s">
        <v>204</v>
      </c>
    </row>
    <row r="23" spans="2:9" x14ac:dyDescent="0.25">
      <c r="B23" s="98" t="s">
        <v>68</v>
      </c>
      <c r="C23" s="232"/>
      <c r="D23" s="64">
        <f>D13*D17*0.0864*365</f>
        <v>152726.12294979102</v>
      </c>
      <c r="E23" s="64">
        <f t="shared" ref="E23:H23" si="2">E13*E17*0.0864*365</f>
        <v>155108.88360121724</v>
      </c>
      <c r="F23" s="64">
        <f t="shared" si="2"/>
        <v>157003.06204792627</v>
      </c>
      <c r="G23" s="64">
        <f t="shared" si="2"/>
        <v>158770.60616174905</v>
      </c>
      <c r="H23" s="64">
        <f t="shared" si="2"/>
        <v>160462.36870379149</v>
      </c>
      <c r="I23" s="234"/>
    </row>
    <row r="24" spans="2:9" ht="30" x14ac:dyDescent="0.25">
      <c r="B24" s="99" t="s">
        <v>15</v>
      </c>
      <c r="C24" s="94"/>
      <c r="D24" s="42" t="s">
        <v>50</v>
      </c>
      <c r="E24" s="42" t="s">
        <v>50</v>
      </c>
      <c r="F24" s="42" t="s">
        <v>50</v>
      </c>
      <c r="G24" s="42" t="s">
        <v>50</v>
      </c>
      <c r="H24" s="82" t="s">
        <v>50</v>
      </c>
      <c r="I24" s="235" t="s">
        <v>65</v>
      </c>
    </row>
    <row r="25" spans="2:9" ht="30" x14ac:dyDescent="0.25">
      <c r="B25" s="100" t="s">
        <v>16</v>
      </c>
      <c r="C25" s="95"/>
      <c r="D25" s="43" t="s">
        <v>50</v>
      </c>
      <c r="E25" s="43" t="s">
        <v>50</v>
      </c>
      <c r="F25" s="43" t="s">
        <v>50</v>
      </c>
      <c r="G25" s="43" t="s">
        <v>50</v>
      </c>
      <c r="H25" s="83" t="s">
        <v>50</v>
      </c>
      <c r="I25" s="236"/>
    </row>
    <row r="26" spans="2:9" ht="45" x14ac:dyDescent="0.25">
      <c r="B26" s="107" t="s">
        <v>2</v>
      </c>
      <c r="C26" s="96"/>
      <c r="D26" s="57">
        <f>'[2]% porcentaje de remocion '!$E$8</f>
        <v>0.49</v>
      </c>
      <c r="E26" s="57">
        <f>'[2]% porcentaje de remocion '!$E$9</f>
        <v>0.54</v>
      </c>
      <c r="F26" s="57">
        <f>'[2]% porcentaje de remocion '!$E$10</f>
        <v>0.6</v>
      </c>
      <c r="G26" s="57">
        <f>'[2]% porcentaje de remocion '!$E$11</f>
        <v>0.65</v>
      </c>
      <c r="H26" s="84">
        <f>'[2]% porcentaje de remocion '!$E$12</f>
        <v>0.7</v>
      </c>
      <c r="I26" s="88" t="s">
        <v>154</v>
      </c>
    </row>
    <row r="27" spans="2:9" x14ac:dyDescent="0.25">
      <c r="B27" s="88" t="s">
        <v>43</v>
      </c>
      <c r="C27" s="237" t="s">
        <v>52</v>
      </c>
      <c r="D27" s="40">
        <v>77</v>
      </c>
      <c r="E27" s="40">
        <v>77</v>
      </c>
      <c r="F27" s="40">
        <v>77</v>
      </c>
      <c r="G27" s="40">
        <v>77</v>
      </c>
      <c r="H27" s="40">
        <v>77</v>
      </c>
      <c r="I27" s="239" t="s">
        <v>88</v>
      </c>
    </row>
    <row r="28" spans="2:9" x14ac:dyDescent="0.25">
      <c r="B28" s="101" t="s">
        <v>44</v>
      </c>
      <c r="C28" s="238"/>
      <c r="D28" s="40">
        <v>64.5</v>
      </c>
      <c r="E28" s="40">
        <v>64.5</v>
      </c>
      <c r="F28" s="40">
        <v>64.5</v>
      </c>
      <c r="G28" s="40">
        <v>64.5</v>
      </c>
      <c r="H28" s="40">
        <v>64.5</v>
      </c>
      <c r="I28" s="240"/>
    </row>
    <row r="29" spans="2:9" ht="30" x14ac:dyDescent="0.25">
      <c r="B29" s="102" t="s">
        <v>155</v>
      </c>
      <c r="C29" s="220" t="s">
        <v>77</v>
      </c>
      <c r="D29" s="46">
        <f>'[1]Sabanagrande  2904-4'!$E$41+'[1]Sabanagrande  2904-4'!$K$41</f>
        <v>158749.05735962707</v>
      </c>
      <c r="E29" s="46">
        <f>'[1]Sabanagrande  2904-4'!$E$41+'[1]Sabanagrande  2904-4'!$K$41</f>
        <v>158749.05735962707</v>
      </c>
      <c r="F29" s="46">
        <f>'[1]Sabanagrande  2904-4'!$E$41+'[1]Sabanagrande  2904-4'!$K$41</f>
        <v>158749.05735962707</v>
      </c>
      <c r="G29" s="46">
        <f>'[1]Sabanagrande  2904-4'!$E$41+'[1]Sabanagrande  2904-4'!$K$41</f>
        <v>158749.05735962707</v>
      </c>
      <c r="H29" s="46">
        <f>'[1]Sabanagrande  2904-4'!$E$41+'[1]Sabanagrande  2904-4'!$K$41</f>
        <v>158749.05735962707</v>
      </c>
      <c r="I29" s="222" t="s">
        <v>85</v>
      </c>
    </row>
    <row r="30" spans="2:9" ht="30" x14ac:dyDescent="0.25">
      <c r="B30" s="103" t="s">
        <v>157</v>
      </c>
      <c r="C30" s="221"/>
      <c r="D30" s="46">
        <f>'[1]Sabanagrande  2904-4'!$F$41+'[1]Sabanagrande  2904-4'!$L$41</f>
        <v>158749.05735962707</v>
      </c>
      <c r="E30" s="46">
        <f>'[1]Sabanagrande  2904-4'!$F$41+'[1]Sabanagrande  2904-4'!$L$41</f>
        <v>158749.05735962707</v>
      </c>
      <c r="F30" s="46">
        <f>'[1]Sabanagrande  2904-4'!$F$41+'[1]Sabanagrande  2904-4'!$L$41</f>
        <v>158749.05735962707</v>
      </c>
      <c r="G30" s="46">
        <f>'[1]Sabanagrande  2904-4'!$F$41+'[1]Sabanagrande  2904-4'!$L$41</f>
        <v>158749.05735962707</v>
      </c>
      <c r="H30" s="46">
        <f>'[1]Sabanagrande  2904-4'!$F$41+'[1]Sabanagrande  2904-4'!$L$41</f>
        <v>158749.05735962707</v>
      </c>
      <c r="I30" s="223"/>
    </row>
    <row r="31" spans="2:9" ht="45.75" thickBot="1" x14ac:dyDescent="0.3">
      <c r="B31" s="104" t="s">
        <v>158</v>
      </c>
      <c r="C31" s="65" t="s">
        <v>66</v>
      </c>
      <c r="D31" s="71"/>
      <c r="E31" s="71"/>
      <c r="F31" s="71"/>
      <c r="G31" s="71"/>
      <c r="H31" s="86"/>
      <c r="I31" s="89" t="s">
        <v>159</v>
      </c>
    </row>
    <row r="32" spans="2:9" ht="39" customHeight="1" thickBot="1" x14ac:dyDescent="0.3">
      <c r="B32" s="70" t="s">
        <v>160</v>
      </c>
      <c r="C32" s="224" t="s">
        <v>205</v>
      </c>
      <c r="D32" s="225"/>
      <c r="E32" s="225"/>
      <c r="F32" s="225"/>
      <c r="G32" s="225"/>
      <c r="H32" s="225"/>
      <c r="I32" s="226"/>
    </row>
    <row r="33" spans="2:9" ht="30.75" thickBot="1" x14ac:dyDescent="0.3">
      <c r="B33" s="22" t="s">
        <v>32</v>
      </c>
      <c r="C33" s="227" t="s">
        <v>110</v>
      </c>
      <c r="D33" s="48">
        <f t="shared" ref="D33:F34" si="3">D22</f>
        <v>152726.12294979102</v>
      </c>
      <c r="E33" s="48">
        <f t="shared" si="3"/>
        <v>155108.88360121724</v>
      </c>
      <c r="F33" s="48">
        <f t="shared" si="3"/>
        <v>157003.06204792627</v>
      </c>
      <c r="G33" s="48">
        <f t="shared" ref="G33:H34" si="4">G20</f>
        <v>77352.787305168938</v>
      </c>
      <c r="H33" s="48">
        <f t="shared" si="4"/>
        <v>78177.011330314665</v>
      </c>
      <c r="I33" s="229" t="s">
        <v>198</v>
      </c>
    </row>
    <row r="34" spans="2:9" ht="72.75" customHeight="1" thickBot="1" x14ac:dyDescent="0.3">
      <c r="B34" s="25" t="s">
        <v>33</v>
      </c>
      <c r="C34" s="228"/>
      <c r="D34" s="49">
        <f t="shared" si="3"/>
        <v>152726.12294979102</v>
      </c>
      <c r="E34" s="49">
        <f t="shared" si="3"/>
        <v>155108.88360121724</v>
      </c>
      <c r="F34" s="49">
        <f t="shared" si="3"/>
        <v>157003.06204792627</v>
      </c>
      <c r="G34" s="49">
        <f t="shared" si="4"/>
        <v>92158.902380257583</v>
      </c>
      <c r="H34" s="49">
        <f t="shared" si="4"/>
        <v>93140.891318460854</v>
      </c>
      <c r="I34" s="230"/>
    </row>
    <row r="35" spans="2:9" ht="30.75" thickBot="1" x14ac:dyDescent="0.3">
      <c r="B35" s="66" t="s">
        <v>13</v>
      </c>
      <c r="C35" s="67"/>
      <c r="D35" s="68">
        <v>100</v>
      </c>
      <c r="E35" s="68">
        <v>0</v>
      </c>
      <c r="F35" s="68">
        <v>0</v>
      </c>
      <c r="G35" s="68">
        <v>0</v>
      </c>
      <c r="H35" s="68">
        <v>0</v>
      </c>
      <c r="I35" s="69" t="s">
        <v>93</v>
      </c>
    </row>
  </sheetData>
  <mergeCells count="26">
    <mergeCell ref="I2:I6"/>
    <mergeCell ref="B7:B8"/>
    <mergeCell ref="C7:C8"/>
    <mergeCell ref="I7:I12"/>
    <mergeCell ref="I14:I15"/>
    <mergeCell ref="D7:H7"/>
    <mergeCell ref="B2:H2"/>
    <mergeCell ref="B3:H3"/>
    <mergeCell ref="B4:H4"/>
    <mergeCell ref="B5:H5"/>
    <mergeCell ref="C6:H6"/>
    <mergeCell ref="C16:C17"/>
    <mergeCell ref="I16:I17"/>
    <mergeCell ref="I18:I19"/>
    <mergeCell ref="C20:C21"/>
    <mergeCell ref="I20:I21"/>
    <mergeCell ref="C22:C23"/>
    <mergeCell ref="I22:I23"/>
    <mergeCell ref="I24:I25"/>
    <mergeCell ref="C27:C28"/>
    <mergeCell ref="I27:I28"/>
    <mergeCell ref="C29:C30"/>
    <mergeCell ref="I29:I30"/>
    <mergeCell ref="C32:I32"/>
    <mergeCell ref="C33:C34"/>
    <mergeCell ref="I33:I34"/>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SOLEDAD</vt:lpstr>
      <vt:lpstr>USIACURI</vt:lpstr>
      <vt:lpstr>PIOJÓ</vt:lpstr>
      <vt:lpstr>JUAN DE ACOSTA</vt:lpstr>
      <vt:lpstr>GALAPA</vt:lpstr>
      <vt:lpstr>TUBARÁ</vt:lpstr>
      <vt:lpstr>PTO COLOMBIA</vt:lpstr>
      <vt:lpstr>POLONUEVO</vt:lpstr>
      <vt:lpstr>SABANALARGA</vt:lpstr>
      <vt:lpstr>PONEDERA</vt:lpstr>
      <vt:lpstr>BARANOA</vt:lpstr>
      <vt:lpstr>INFORME DE EVALUACION</vt:lpstr>
      <vt:lpstr>PALMAR DE VAERLA</vt:lpstr>
      <vt:lpstr>SANTO TOMAS</vt:lpstr>
      <vt:lpstr>SABANGRANDE</vt:lpstr>
      <vt:lpstr>BARRANQUILLA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Fernando Castro</dc:creator>
  <cp:lastModifiedBy>Ayari Rojano Marin</cp:lastModifiedBy>
  <dcterms:created xsi:type="dcterms:W3CDTF">2021-07-30T19:40:30Z</dcterms:created>
  <dcterms:modified xsi:type="dcterms:W3CDTF">2021-08-18T14:03:13Z</dcterms:modified>
</cp:coreProperties>
</file>